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Dokumente\"/>
    </mc:Choice>
  </mc:AlternateContent>
  <bookViews>
    <workbookView xWindow="0" yWindow="0" windowWidth="16200" windowHeight="7913"/>
  </bookViews>
  <sheets>
    <sheet name="Eingabe und Diagramm" sheetId="1" r:id="rId1"/>
    <sheet name="Berechnung" sheetId="5" r:id="rId2"/>
  </sheets>
  <definedNames>
    <definedName name="anteilnio">Berechnung!$P$37</definedName>
    <definedName name="Anzahl">Berechnung!$P$12</definedName>
    <definedName name="AnzahlKlassenHistogramm">'Eingabe und Diagramm'!$P$18</definedName>
    <definedName name="BEOBPOGW">Berechnung!$P$34</definedName>
    <definedName name="BEOBPPM">Berechnung!$P$33</definedName>
    <definedName name="BEOBPUGW">Berechnung!$P$33</definedName>
    <definedName name="BERP">Berechnung!$P$30</definedName>
    <definedName name="BERPOGW">Berechnung!$P$29</definedName>
    <definedName name="BERPUGW">Berechnung!$P$28</definedName>
    <definedName name="BG">Berechnung!$BG$5:$BG$204</definedName>
    <definedName name="CP">Berechnung!$P$19</definedName>
    <definedName name="CPK">Berechnung!$P$20</definedName>
    <definedName name="CPO">Berechnung!$P$18</definedName>
    <definedName name="CPU">Berechnung!$P$17</definedName>
    <definedName name="Datum">'Eingabe und Diagramm'!$O$12</definedName>
    <definedName name="_xlnm.Print_Area" localSheetId="1">Berechnung!$A$1:$Z$55</definedName>
    <definedName name="_xlnm.Print_Area" localSheetId="0">'Eingabe und Diagramm'!$A$1:$Z$55</definedName>
    <definedName name="Häufigkeitsdichte">Berechnung!$Y$64:$Y$83</definedName>
    <definedName name="Maßeinheit">'Eingabe und Diagramm'!$O$14</definedName>
    <definedName name="Maximum">Berechnung!$P$25</definedName>
    <definedName name="Median">Berechnung!$P$22</definedName>
    <definedName name="Merkmal">'Eingabe und Diagramm'!$O$13</definedName>
    <definedName name="Merkman">'Eingabe und Diagramm'!$O$13</definedName>
    <definedName name="Minimum">Berechnung!$P$24</definedName>
    <definedName name="Mittelwert">Berechnung!$P$13</definedName>
    <definedName name="Normalverteilung_S">Berechnung!$BI$5:$BI$204</definedName>
    <definedName name="normver">Berechnung!$P$28</definedName>
    <definedName name="OGW">'Eingabe und Diagramm'!$P$17</definedName>
    <definedName name="P">Berechnung!$P$30</definedName>
    <definedName name="POGW">Berechnung!$P$29</definedName>
    <definedName name="PUGW">Berechnung!$P$28</definedName>
    <definedName name="sigmalevel">Berechnung!$P$38</definedName>
    <definedName name="Sollwert">'Eingabe und Diagramm'!$P$15</definedName>
    <definedName name="Spannweite">Berechnung!$P$23</definedName>
    <definedName name="Standardabweichung">Berechnung!$P$14</definedName>
    <definedName name="UGW">'Eingabe und Diagramm'!$P$16</definedName>
    <definedName name="xi">Berechnung!$C$5:$C$204</definedName>
  </definedNames>
  <calcPr calcId="152511"/>
</workbook>
</file>

<file path=xl/calcChain.xml><?xml version="1.0" encoding="utf-8"?>
<calcChain xmlns="http://schemas.openxmlformats.org/spreadsheetml/2006/main">
  <c r="N4" i="1" l="1"/>
  <c r="N11" i="1" l="1"/>
  <c r="N15" i="1"/>
  <c r="N17" i="1"/>
  <c r="U88" i="5" l="1"/>
  <c r="U87" i="5"/>
  <c r="AH4" i="5"/>
  <c r="AG4" i="5"/>
  <c r="N16" i="1"/>
  <c r="O9" i="5" s="1"/>
  <c r="O10" i="5"/>
  <c r="N29" i="1"/>
  <c r="O23" i="5" s="1"/>
  <c r="N25" i="1"/>
  <c r="O14" i="5" s="1"/>
  <c r="N23" i="1"/>
  <c r="O12" i="5" s="1"/>
  <c r="N24" i="1"/>
  <c r="O13" i="5" s="1"/>
  <c r="AO4" i="5" s="1"/>
  <c r="O25" i="5"/>
  <c r="O24" i="5"/>
  <c r="O22" i="5"/>
  <c r="N33" i="1"/>
  <c r="O16" i="5" s="1"/>
  <c r="N2" i="1"/>
  <c r="N46" i="1"/>
  <c r="N47" i="1"/>
  <c r="N42" i="1"/>
  <c r="N41" i="1"/>
  <c r="N39" i="1"/>
  <c r="N26" i="1"/>
  <c r="N18" i="1"/>
  <c r="O8" i="5"/>
  <c r="U92" i="5" s="1"/>
  <c r="N14" i="1"/>
  <c r="O7" i="5" s="1"/>
  <c r="N13" i="1"/>
  <c r="O6" i="5" s="1"/>
  <c r="N12" i="1"/>
  <c r="O5" i="5" s="1"/>
  <c r="N9" i="1"/>
  <c r="N10" i="1"/>
  <c r="N8" i="1"/>
  <c r="N7" i="1"/>
  <c r="N5" i="1"/>
  <c r="U91" i="5" l="1"/>
  <c r="U90" i="5" l="1"/>
  <c r="U89" i="5"/>
  <c r="V88" i="5" l="1"/>
  <c r="V87" i="5"/>
  <c r="V92" i="5"/>
  <c r="S59" i="5"/>
  <c r="P5" i="5"/>
  <c r="P6" i="5"/>
  <c r="P7" i="5"/>
  <c r="P8" i="5"/>
  <c r="P9" i="5"/>
  <c r="P10" i="5"/>
  <c r="AW21" i="5"/>
  <c r="AW20" i="5"/>
  <c r="AW19" i="5"/>
  <c r="L6" i="5"/>
  <c r="C156" i="5" s="1"/>
  <c r="L7" i="5"/>
  <c r="C157" i="5" s="1"/>
  <c r="L8" i="5"/>
  <c r="C158" i="5" s="1"/>
  <c r="L9" i="5"/>
  <c r="L10" i="5"/>
  <c r="C160" i="5" s="1"/>
  <c r="L11" i="5"/>
  <c r="L12" i="5"/>
  <c r="L13" i="5"/>
  <c r="C163" i="5" s="1"/>
  <c r="L14" i="5"/>
  <c r="C164" i="5" s="1"/>
  <c r="L15" i="5"/>
  <c r="L16" i="5"/>
  <c r="L17" i="5"/>
  <c r="C167" i="5" s="1"/>
  <c r="L18" i="5"/>
  <c r="L19" i="5"/>
  <c r="C169" i="5" s="1"/>
  <c r="L20" i="5"/>
  <c r="L21" i="5"/>
  <c r="C171" i="5" s="1"/>
  <c r="L22" i="5"/>
  <c r="C172" i="5" s="1"/>
  <c r="L23" i="5"/>
  <c r="C173" i="5" s="1"/>
  <c r="L24" i="5"/>
  <c r="C174" i="5" s="1"/>
  <c r="L25" i="5"/>
  <c r="C175" i="5" s="1"/>
  <c r="AQ175" i="5" s="1"/>
  <c r="L26" i="5"/>
  <c r="C176" i="5" s="1"/>
  <c r="AR176" i="5" s="1"/>
  <c r="L27" i="5"/>
  <c r="C177" i="5" s="1"/>
  <c r="L28" i="5"/>
  <c r="C178" i="5" s="1"/>
  <c r="L29" i="5"/>
  <c r="C179" i="5" s="1"/>
  <c r="L30" i="5"/>
  <c r="C180" i="5" s="1"/>
  <c r="AR180" i="5" s="1"/>
  <c r="L31" i="5"/>
  <c r="C181" i="5" s="1"/>
  <c r="L32" i="5"/>
  <c r="C182" i="5" s="1"/>
  <c r="L33" i="5"/>
  <c r="C183" i="5" s="1"/>
  <c r="AR183" i="5" s="1"/>
  <c r="L34" i="5"/>
  <c r="C184" i="5" s="1"/>
  <c r="L35" i="5"/>
  <c r="C185" i="5" s="1"/>
  <c r="L36" i="5"/>
  <c r="C186" i="5" s="1"/>
  <c r="L37" i="5"/>
  <c r="C187" i="5" s="1"/>
  <c r="L38" i="5"/>
  <c r="C188" i="5" s="1"/>
  <c r="L39" i="5"/>
  <c r="C189" i="5" s="1"/>
  <c r="L40" i="5"/>
  <c r="C190" i="5" s="1"/>
  <c r="L41" i="5"/>
  <c r="C191" i="5" s="1"/>
  <c r="L42" i="5"/>
  <c r="C192" i="5" s="1"/>
  <c r="L43" i="5"/>
  <c r="C193" i="5" s="1"/>
  <c r="AQ193" i="5" s="1"/>
  <c r="L44" i="5"/>
  <c r="C194" i="5" s="1"/>
  <c r="AQ194" i="5" s="1"/>
  <c r="L45" i="5"/>
  <c r="C195" i="5" s="1"/>
  <c r="L46" i="5"/>
  <c r="C196" i="5" s="1"/>
  <c r="AR196" i="5" s="1"/>
  <c r="L47" i="5"/>
  <c r="C197" i="5" s="1"/>
  <c r="AR197" i="5" s="1"/>
  <c r="L48" i="5"/>
  <c r="C198" i="5" s="1"/>
  <c r="L49" i="5"/>
  <c r="C199" i="5" s="1"/>
  <c r="L50" i="5"/>
  <c r="C200" i="5" s="1"/>
  <c r="L51" i="5"/>
  <c r="C201" i="5" s="1"/>
  <c r="AQ201" i="5" s="1"/>
  <c r="L52" i="5"/>
  <c r="C202" i="5" s="1"/>
  <c r="L53" i="5"/>
  <c r="C203" i="5" s="1"/>
  <c r="L54" i="5"/>
  <c r="C204" i="5" s="1"/>
  <c r="L5" i="5"/>
  <c r="I6" i="5"/>
  <c r="I7" i="5"/>
  <c r="C107" i="5" s="1"/>
  <c r="I8" i="5"/>
  <c r="C108" i="5" s="1"/>
  <c r="I9" i="5"/>
  <c r="C109" i="5" s="1"/>
  <c r="AR109" i="5" s="1"/>
  <c r="I10" i="5"/>
  <c r="C110" i="5" s="1"/>
  <c r="I11" i="5"/>
  <c r="I12" i="5"/>
  <c r="C112" i="5" s="1"/>
  <c r="I13" i="5"/>
  <c r="C113" i="5" s="1"/>
  <c r="AQ113" i="5" s="1"/>
  <c r="I14" i="5"/>
  <c r="C114" i="5" s="1"/>
  <c r="AR114" i="5" s="1"/>
  <c r="I15" i="5"/>
  <c r="C115" i="5" s="1"/>
  <c r="I16" i="5"/>
  <c r="C116" i="5" s="1"/>
  <c r="I17" i="5"/>
  <c r="I18" i="5"/>
  <c r="C118" i="5" s="1"/>
  <c r="AQ118" i="5" s="1"/>
  <c r="I19" i="5"/>
  <c r="C119" i="5" s="1"/>
  <c r="AQ119" i="5" s="1"/>
  <c r="I20" i="5"/>
  <c r="C120" i="5" s="1"/>
  <c r="I21" i="5"/>
  <c r="C121" i="5" s="1"/>
  <c r="I22" i="5"/>
  <c r="C122" i="5" s="1"/>
  <c r="I23" i="5"/>
  <c r="I24" i="5"/>
  <c r="C124" i="5" s="1"/>
  <c r="I25" i="5"/>
  <c r="C125" i="5" s="1"/>
  <c r="AQ125" i="5" s="1"/>
  <c r="I26" i="5"/>
  <c r="C126" i="5" s="1"/>
  <c r="I27" i="5"/>
  <c r="C127" i="5" s="1"/>
  <c r="I28" i="5"/>
  <c r="I29" i="5"/>
  <c r="C129" i="5" s="1"/>
  <c r="AR129" i="5" s="1"/>
  <c r="I30" i="5"/>
  <c r="C130" i="5" s="1"/>
  <c r="I31" i="5"/>
  <c r="C131" i="5" s="1"/>
  <c r="I32" i="5"/>
  <c r="C132" i="5" s="1"/>
  <c r="I33" i="5"/>
  <c r="C133" i="5" s="1"/>
  <c r="AR133" i="5" s="1"/>
  <c r="I34" i="5"/>
  <c r="I35" i="5"/>
  <c r="C135" i="5" s="1"/>
  <c r="I36" i="5"/>
  <c r="C136" i="5" s="1"/>
  <c r="AQ136" i="5" s="1"/>
  <c r="I37" i="5"/>
  <c r="I38" i="5"/>
  <c r="C138" i="5" s="1"/>
  <c r="I39" i="5"/>
  <c r="C139" i="5" s="1"/>
  <c r="I40" i="5"/>
  <c r="C140" i="5" s="1"/>
  <c r="I41" i="5"/>
  <c r="C141" i="5" s="1"/>
  <c r="I42" i="5"/>
  <c r="C142" i="5" s="1"/>
  <c r="AR142" i="5" s="1"/>
  <c r="I43" i="5"/>
  <c r="C143" i="5" s="1"/>
  <c r="I44" i="5"/>
  <c r="I45" i="5"/>
  <c r="I46" i="5"/>
  <c r="C146" i="5" s="1"/>
  <c r="I47" i="5"/>
  <c r="C147" i="5" s="1"/>
  <c r="I48" i="5"/>
  <c r="C148" i="5" s="1"/>
  <c r="I49" i="5"/>
  <c r="C149" i="5" s="1"/>
  <c r="AQ149" i="5" s="1"/>
  <c r="I50" i="5"/>
  <c r="C150" i="5" s="1"/>
  <c r="I51" i="5"/>
  <c r="C151" i="5" s="1"/>
  <c r="I52" i="5"/>
  <c r="I53" i="5"/>
  <c r="C153" i="5" s="1"/>
  <c r="I54" i="5"/>
  <c r="C154" i="5" s="1"/>
  <c r="I5" i="5"/>
  <c r="C105" i="5" s="1"/>
  <c r="F6" i="5"/>
  <c r="C56" i="5" s="1"/>
  <c r="F7" i="5"/>
  <c r="F8" i="5"/>
  <c r="C58" i="5" s="1"/>
  <c r="F9" i="5"/>
  <c r="C59" i="5" s="1"/>
  <c r="F10" i="5"/>
  <c r="C60" i="5" s="1"/>
  <c r="AQ60" i="5" s="1"/>
  <c r="F11" i="5"/>
  <c r="F12" i="5"/>
  <c r="C62" i="5" s="1"/>
  <c r="AQ62" i="5" s="1"/>
  <c r="F13" i="5"/>
  <c r="C63" i="5" s="1"/>
  <c r="F14" i="5"/>
  <c r="C64" i="5" s="1"/>
  <c r="F15" i="5"/>
  <c r="C65" i="5" s="1"/>
  <c r="AQ65" i="5" s="1"/>
  <c r="F16" i="5"/>
  <c r="C66" i="5" s="1"/>
  <c r="F17" i="5"/>
  <c r="C67" i="5" s="1"/>
  <c r="F18" i="5"/>
  <c r="F19" i="5"/>
  <c r="C69" i="5" s="1"/>
  <c r="AQ69" i="5" s="1"/>
  <c r="F20" i="5"/>
  <c r="C70" i="5" s="1"/>
  <c r="F21" i="5"/>
  <c r="C71" i="5" s="1"/>
  <c r="AQ71" i="5" s="1"/>
  <c r="F22" i="5"/>
  <c r="C72" i="5" s="1"/>
  <c r="AQ72" i="5" s="1"/>
  <c r="F23" i="5"/>
  <c r="C73" i="5" s="1"/>
  <c r="F24" i="5"/>
  <c r="F25" i="5"/>
  <c r="F26" i="5"/>
  <c r="F27" i="5"/>
  <c r="C77" i="5" s="1"/>
  <c r="F28" i="5"/>
  <c r="C78" i="5" s="1"/>
  <c r="F29" i="5"/>
  <c r="F30" i="5"/>
  <c r="C80" i="5" s="1"/>
  <c r="F31" i="5"/>
  <c r="C81" i="5" s="1"/>
  <c r="F32" i="5"/>
  <c r="C82" i="5" s="1"/>
  <c r="AR82" i="5" s="1"/>
  <c r="F33" i="5"/>
  <c r="C83" i="5" s="1"/>
  <c r="AR83" i="5" s="1"/>
  <c r="F34" i="5"/>
  <c r="C84" i="5" s="1"/>
  <c r="F35" i="5"/>
  <c r="C85" i="5" s="1"/>
  <c r="F36" i="5"/>
  <c r="C86" i="5" s="1"/>
  <c r="F37" i="5"/>
  <c r="F38" i="5"/>
  <c r="C88" i="5" s="1"/>
  <c r="F39" i="5"/>
  <c r="F40" i="5"/>
  <c r="C90" i="5" s="1"/>
  <c r="F41" i="5"/>
  <c r="C91" i="5" s="1"/>
  <c r="F42" i="5"/>
  <c r="C92" i="5" s="1"/>
  <c r="F43" i="5"/>
  <c r="F44" i="5"/>
  <c r="C94" i="5" s="1"/>
  <c r="F45" i="5"/>
  <c r="C95" i="5" s="1"/>
  <c r="F46" i="5"/>
  <c r="C96" i="5" s="1"/>
  <c r="F47" i="5"/>
  <c r="F48" i="5"/>
  <c r="F49" i="5"/>
  <c r="C99" i="5" s="1"/>
  <c r="F50" i="5"/>
  <c r="C100" i="5" s="1"/>
  <c r="AQ100" i="5" s="1"/>
  <c r="F51" i="5"/>
  <c r="F52" i="5"/>
  <c r="C102" i="5" s="1"/>
  <c r="F53" i="5"/>
  <c r="F54" i="5"/>
  <c r="C104" i="5" s="1"/>
  <c r="AR104" i="5" s="1"/>
  <c r="F5" i="5"/>
  <c r="C55" i="5" s="1"/>
  <c r="C6" i="5"/>
  <c r="AR6" i="5" s="1"/>
  <c r="C7" i="5"/>
  <c r="AR7" i="5" s="1"/>
  <c r="C8" i="5"/>
  <c r="AQ8" i="5" s="1"/>
  <c r="C9" i="5"/>
  <c r="AQ9" i="5" s="1"/>
  <c r="C10" i="5"/>
  <c r="AR10" i="5" s="1"/>
  <c r="C11" i="5"/>
  <c r="AR11" i="5" s="1"/>
  <c r="C12" i="5"/>
  <c r="AQ12" i="5" s="1"/>
  <c r="C13" i="5"/>
  <c r="AQ13" i="5" s="1"/>
  <c r="C14" i="5"/>
  <c r="AR14" i="5" s="1"/>
  <c r="C15" i="5"/>
  <c r="AQ15" i="5" s="1"/>
  <c r="C16" i="5"/>
  <c r="AR16" i="5" s="1"/>
  <c r="C17" i="5"/>
  <c r="AQ17" i="5" s="1"/>
  <c r="C18" i="5"/>
  <c r="AR18" i="5" s="1"/>
  <c r="C19" i="5"/>
  <c r="AQ19" i="5" s="1"/>
  <c r="C20" i="5"/>
  <c r="AR20" i="5" s="1"/>
  <c r="C21" i="5"/>
  <c r="AQ21" i="5" s="1"/>
  <c r="C22" i="5"/>
  <c r="AR22" i="5" s="1"/>
  <c r="C23" i="5"/>
  <c r="AR23" i="5" s="1"/>
  <c r="C24" i="5"/>
  <c r="AR24" i="5" s="1"/>
  <c r="C25" i="5"/>
  <c r="AQ25" i="5" s="1"/>
  <c r="C26" i="5"/>
  <c r="AR26" i="5" s="1"/>
  <c r="C27" i="5"/>
  <c r="AQ27" i="5" s="1"/>
  <c r="C28" i="5"/>
  <c r="AR28" i="5" s="1"/>
  <c r="C29" i="5"/>
  <c r="AR29" i="5" s="1"/>
  <c r="C30" i="5"/>
  <c r="AR30" i="5" s="1"/>
  <c r="C31" i="5"/>
  <c r="AR31" i="5" s="1"/>
  <c r="C32" i="5"/>
  <c r="AR32" i="5" s="1"/>
  <c r="C33" i="5"/>
  <c r="AR33" i="5" s="1"/>
  <c r="C34" i="5"/>
  <c r="AR34" i="5" s="1"/>
  <c r="C35" i="5"/>
  <c r="AQ35" i="5" s="1"/>
  <c r="C36" i="5"/>
  <c r="AQ36" i="5" s="1"/>
  <c r="C37" i="5"/>
  <c r="AQ37" i="5" s="1"/>
  <c r="C38" i="5"/>
  <c r="AR38" i="5" s="1"/>
  <c r="C39" i="5"/>
  <c r="AQ39" i="5" s="1"/>
  <c r="C40" i="5"/>
  <c r="AQ40" i="5" s="1"/>
  <c r="C41" i="5"/>
  <c r="AQ41" i="5" s="1"/>
  <c r="C42" i="5"/>
  <c r="AQ42" i="5" s="1"/>
  <c r="C43" i="5"/>
  <c r="AQ43" i="5" s="1"/>
  <c r="C44" i="5"/>
  <c r="AR44" i="5" s="1"/>
  <c r="C45" i="5"/>
  <c r="AQ45" i="5" s="1"/>
  <c r="C46" i="5"/>
  <c r="AR46" i="5" s="1"/>
  <c r="C47" i="5"/>
  <c r="AQ47" i="5" s="1"/>
  <c r="C48" i="5"/>
  <c r="AQ48" i="5" s="1"/>
  <c r="C49" i="5"/>
  <c r="AQ49" i="5" s="1"/>
  <c r="C50" i="5"/>
  <c r="AR50" i="5" s="1"/>
  <c r="C51" i="5"/>
  <c r="AQ51" i="5" s="1"/>
  <c r="C52" i="5"/>
  <c r="AR52" i="5" s="1"/>
  <c r="C53" i="5"/>
  <c r="AQ53" i="5" s="1"/>
  <c r="C54" i="5"/>
  <c r="AQ54" i="5" s="1"/>
  <c r="C5" i="5"/>
  <c r="BE5" i="5" s="1"/>
  <c r="AY16" i="5"/>
  <c r="AY15" i="5"/>
  <c r="AY14" i="5"/>
  <c r="AY13" i="5"/>
  <c r="AY12" i="5"/>
  <c r="AY11" i="5"/>
  <c r="AY10" i="5"/>
  <c r="AY9" i="5"/>
  <c r="AY8" i="5"/>
  <c r="AY7" i="5"/>
  <c r="AY6" i="5"/>
  <c r="AY5" i="5"/>
  <c r="AN4" i="5"/>
  <c r="AM4" i="5"/>
  <c r="AL4" i="5"/>
  <c r="AK4" i="5"/>
  <c r="AJ4" i="5"/>
  <c r="AI4" i="5"/>
  <c r="AQ190" i="5"/>
  <c r="AR203" i="5"/>
  <c r="AQ7" i="5"/>
  <c r="AQ133" i="5"/>
  <c r="AR175" i="5"/>
  <c r="AQ203" i="5"/>
  <c r="AR69" i="5" l="1"/>
  <c r="AQ197" i="5"/>
  <c r="AQ11" i="5"/>
  <c r="AQ82" i="5"/>
  <c r="AR13" i="5"/>
  <c r="AQ196" i="5"/>
  <c r="AR25" i="5"/>
  <c r="AR19" i="5"/>
  <c r="AQ105" i="5"/>
  <c r="AR105" i="5"/>
  <c r="AR9" i="5"/>
  <c r="AR65" i="5"/>
  <c r="AR62" i="5"/>
  <c r="AQ46" i="5"/>
  <c r="AR15" i="5"/>
  <c r="AR45" i="5"/>
  <c r="AR100" i="5"/>
  <c r="AQ104" i="5"/>
  <c r="AR198" i="5"/>
  <c r="AQ198" i="5"/>
  <c r="AQ10" i="5"/>
  <c r="AR40" i="5"/>
  <c r="AR51" i="5"/>
  <c r="AR49" i="5"/>
  <c r="AQ34" i="5"/>
  <c r="AQ176" i="5"/>
  <c r="AR193" i="5"/>
  <c r="AR5" i="5"/>
  <c r="AG5" i="5"/>
  <c r="AF6" i="5" s="1"/>
  <c r="AH5" i="5"/>
  <c r="AH6" i="5" s="1"/>
  <c r="AH7" i="5" s="1"/>
  <c r="AH8" i="5" s="1"/>
  <c r="AH9" i="5" s="1"/>
  <c r="AH10" i="5" s="1"/>
  <c r="AH11" i="5" s="1"/>
  <c r="AH12" i="5" s="1"/>
  <c r="AH13" i="5" s="1"/>
  <c r="AH14" i="5" s="1"/>
  <c r="AH15" i="5" s="1"/>
  <c r="AH16" i="5" s="1"/>
  <c r="AH17" i="5" s="1"/>
  <c r="AH18" i="5" s="1"/>
  <c r="AH19" i="5" s="1"/>
  <c r="AH20" i="5" s="1"/>
  <c r="AH21" i="5" s="1"/>
  <c r="AH22" i="5" s="1"/>
  <c r="AH23" i="5" s="1"/>
  <c r="AH24" i="5" s="1"/>
  <c r="AH25" i="5" s="1"/>
  <c r="AH26" i="5" s="1"/>
  <c r="AH27" i="5" s="1"/>
  <c r="AH28" i="5" s="1"/>
  <c r="AH29" i="5" s="1"/>
  <c r="AH30" i="5" s="1"/>
  <c r="AH31" i="5" s="1"/>
  <c r="AH32" i="5" s="1"/>
  <c r="AH33" i="5" s="1"/>
  <c r="AH34" i="5" s="1"/>
  <c r="AH35" i="5" s="1"/>
  <c r="AH36" i="5" s="1"/>
  <c r="AH37" i="5" s="1"/>
  <c r="AH38" i="5" s="1"/>
  <c r="AH39" i="5" s="1"/>
  <c r="AH40" i="5" s="1"/>
  <c r="AH41" i="5" s="1"/>
  <c r="AH42" i="5" s="1"/>
  <c r="AH43" i="5" s="1"/>
  <c r="AH44" i="5" s="1"/>
  <c r="AH45" i="5" s="1"/>
  <c r="AH46" i="5" s="1"/>
  <c r="AH47" i="5" s="1"/>
  <c r="AH48" i="5" s="1"/>
  <c r="AH49" i="5" s="1"/>
  <c r="AH50" i="5" s="1"/>
  <c r="AH51" i="5" s="1"/>
  <c r="AH52" i="5" s="1"/>
  <c r="AH53" i="5" s="1"/>
  <c r="AH54" i="5" s="1"/>
  <c r="AH55" i="5" s="1"/>
  <c r="AH56" i="5" s="1"/>
  <c r="AR118" i="5"/>
  <c r="C165" i="5"/>
  <c r="AQ165" i="5" s="1"/>
  <c r="C159" i="5"/>
  <c r="C155" i="5"/>
  <c r="AQ155" i="5" s="1"/>
  <c r="C170" i="5"/>
  <c r="C168" i="5"/>
  <c r="C162" i="5"/>
  <c r="AQ162" i="5" s="1"/>
  <c r="AR194" i="5"/>
  <c r="C161" i="5"/>
  <c r="AQ161" i="5" s="1"/>
  <c r="C166" i="5"/>
  <c r="C106" i="5"/>
  <c r="C123" i="5"/>
  <c r="AQ123" i="5" s="1"/>
  <c r="C117" i="5"/>
  <c r="AQ117" i="5" s="1"/>
  <c r="C111" i="5"/>
  <c r="AR111" i="5" s="1"/>
  <c r="C152" i="5"/>
  <c r="AQ152" i="5" s="1"/>
  <c r="C134" i="5"/>
  <c r="AQ134" i="5" s="1"/>
  <c r="C128" i="5"/>
  <c r="AR128" i="5" s="1"/>
  <c r="C145" i="5"/>
  <c r="AQ145" i="5" s="1"/>
  <c r="C144" i="5"/>
  <c r="C137" i="5"/>
  <c r="AR72" i="5"/>
  <c r="AR71" i="5"/>
  <c r="AQ83" i="5"/>
  <c r="AQ5" i="5"/>
  <c r="AR43" i="5"/>
  <c r="AR41" i="5"/>
  <c r="AQ44" i="5"/>
  <c r="AR8" i="5"/>
  <c r="AQ20" i="5"/>
  <c r="AQ14" i="5"/>
  <c r="AQ26" i="5"/>
  <c r="AQ32" i="5"/>
  <c r="C101" i="5"/>
  <c r="AQ101" i="5" s="1"/>
  <c r="C89" i="5"/>
  <c r="AQ89" i="5" s="1"/>
  <c r="C76" i="5"/>
  <c r="AR76" i="5" s="1"/>
  <c r="C93" i="5"/>
  <c r="AR93" i="5" s="1"/>
  <c r="C87" i="5"/>
  <c r="AQ87" i="5" s="1"/>
  <c r="C75" i="5"/>
  <c r="AQ75" i="5" s="1"/>
  <c r="C57" i="5"/>
  <c r="AR57" i="5" s="1"/>
  <c r="AR60" i="5"/>
  <c r="C98" i="5"/>
  <c r="AQ98" i="5" s="1"/>
  <c r="C74" i="5"/>
  <c r="AR74" i="5" s="1"/>
  <c r="C68" i="5"/>
  <c r="AR68" i="5" s="1"/>
  <c r="C103" i="5"/>
  <c r="AR103" i="5" s="1"/>
  <c r="C97" i="5"/>
  <c r="AQ97" i="5" s="1"/>
  <c r="C79" i="5"/>
  <c r="AR79" i="5" s="1"/>
  <c r="C61" i="5"/>
  <c r="AQ61" i="5" s="1"/>
  <c r="AQ6" i="5"/>
  <c r="AR42" i="5"/>
  <c r="AR36" i="5"/>
  <c r="AR12" i="5"/>
  <c r="AQ30" i="5"/>
  <c r="AQ18" i="5"/>
  <c r="AQ182" i="5"/>
  <c r="AR126" i="5"/>
  <c r="AQ126" i="5"/>
  <c r="AR73" i="5"/>
  <c r="AQ73" i="5"/>
  <c r="AQ188" i="5"/>
  <c r="AR188" i="5"/>
  <c r="AR53" i="5"/>
  <c r="AR182" i="5"/>
  <c r="AR177" i="5"/>
  <c r="AR17" i="5"/>
  <c r="AR152" i="5"/>
  <c r="AQ29" i="5"/>
  <c r="AR35" i="5"/>
  <c r="AQ58" i="5"/>
  <c r="AR58" i="5"/>
  <c r="AQ159" i="5"/>
  <c r="AR55" i="5"/>
  <c r="AQ55" i="5"/>
  <c r="AQ81" i="5"/>
  <c r="AR81" i="5"/>
  <c r="AR146" i="5"/>
  <c r="AQ146" i="5"/>
  <c r="AQ86" i="5"/>
  <c r="AR63" i="5"/>
  <c r="AQ63" i="5"/>
  <c r="AR91" i="5"/>
  <c r="AQ91" i="5"/>
  <c r="AQ56" i="5"/>
  <c r="AR56" i="5"/>
  <c r="AR186" i="5"/>
  <c r="AQ186" i="5"/>
  <c r="AQ96" i="5"/>
  <c r="AR96" i="5"/>
  <c r="AQ120" i="5"/>
  <c r="AR120" i="5"/>
  <c r="AR191" i="5"/>
  <c r="AQ191" i="5"/>
  <c r="AQ174" i="5"/>
  <c r="AR174" i="5"/>
  <c r="AQ148" i="5"/>
  <c r="AR148" i="5"/>
  <c r="AR130" i="5"/>
  <c r="AQ130" i="5"/>
  <c r="AR107" i="5"/>
  <c r="AQ107" i="5"/>
  <c r="AQ135" i="5"/>
  <c r="AR135" i="5"/>
  <c r="AQ160" i="5"/>
  <c r="AR160" i="5"/>
  <c r="AR47" i="5"/>
  <c r="AQ23" i="5"/>
  <c r="AQ70" i="5"/>
  <c r="AR70" i="5"/>
  <c r="AR64" i="5"/>
  <c r="AQ64" i="5"/>
  <c r="AQ59" i="5"/>
  <c r="AR59" i="5"/>
  <c r="AR138" i="5"/>
  <c r="AQ138" i="5"/>
  <c r="AR112" i="5"/>
  <c r="AQ112" i="5"/>
  <c r="AQ164" i="5"/>
  <c r="AR164" i="5"/>
  <c r="AQ95" i="5"/>
  <c r="AR95" i="5"/>
  <c r="AQ85" i="5"/>
  <c r="AR85" i="5"/>
  <c r="AQ143" i="5"/>
  <c r="AR143" i="5"/>
  <c r="AR132" i="5"/>
  <c r="AQ132" i="5"/>
  <c r="AR127" i="5"/>
  <c r="AQ127" i="5"/>
  <c r="AQ122" i="5"/>
  <c r="AR122" i="5"/>
  <c r="AR185" i="5"/>
  <c r="AQ185" i="5"/>
  <c r="AR163" i="5"/>
  <c r="AQ163" i="5"/>
  <c r="AQ90" i="5"/>
  <c r="AR90" i="5"/>
  <c r="AR80" i="5"/>
  <c r="AQ80" i="5"/>
  <c r="AR153" i="5"/>
  <c r="AQ153" i="5"/>
  <c r="AR99" i="5"/>
  <c r="AQ99" i="5"/>
  <c r="AQ94" i="5"/>
  <c r="AR94" i="5"/>
  <c r="AR84" i="5"/>
  <c r="AQ84" i="5"/>
  <c r="AR131" i="5"/>
  <c r="AQ131" i="5"/>
  <c r="AQ121" i="5"/>
  <c r="AR121" i="5"/>
  <c r="AR116" i="5"/>
  <c r="AQ116" i="5"/>
  <c r="AR199" i="5"/>
  <c r="AQ199" i="5"/>
  <c r="AR88" i="5"/>
  <c r="AQ88" i="5"/>
  <c r="AR78" i="5"/>
  <c r="AQ78" i="5"/>
  <c r="AQ67" i="5"/>
  <c r="AR67" i="5"/>
  <c r="AR115" i="5"/>
  <c r="AQ115" i="5"/>
  <c r="AQ204" i="5"/>
  <c r="AR204" i="5"/>
  <c r="AQ178" i="5"/>
  <c r="AR178" i="5"/>
  <c r="AR167" i="5"/>
  <c r="AQ167" i="5"/>
  <c r="AQ77" i="5"/>
  <c r="AR77" i="5"/>
  <c r="AR150" i="5"/>
  <c r="AQ150" i="5"/>
  <c r="AQ140" i="5"/>
  <c r="AR140" i="5"/>
  <c r="AR108" i="5"/>
  <c r="AQ108" i="5"/>
  <c r="AR157" i="5"/>
  <c r="AQ157" i="5"/>
  <c r="AQ66" i="5"/>
  <c r="AR66" i="5"/>
  <c r="AQ102" i="5"/>
  <c r="AR102" i="5"/>
  <c r="AR171" i="5"/>
  <c r="AQ171" i="5"/>
  <c r="AR86" i="5"/>
  <c r="AR92" i="5"/>
  <c r="AQ92" i="5"/>
  <c r="AR149" i="5"/>
  <c r="AR141" i="5"/>
  <c r="AR113" i="5"/>
  <c r="AQ195" i="5"/>
  <c r="AR195" i="5"/>
  <c r="AR190" i="5"/>
  <c r="AR181" i="5"/>
  <c r="AQ181" i="5"/>
  <c r="AR158" i="5"/>
  <c r="AQ158" i="5"/>
  <c r="AR136" i="5"/>
  <c r="AQ129" i="5"/>
  <c r="AR125" i="5"/>
  <c r="AR189" i="5"/>
  <c r="AQ189" i="5"/>
  <c r="AQ180" i="5"/>
  <c r="AQ124" i="5"/>
  <c r="AR184" i="5"/>
  <c r="AQ184" i="5"/>
  <c r="AQ179" i="5"/>
  <c r="AR179" i="5"/>
  <c r="AR151" i="5"/>
  <c r="AQ151" i="5"/>
  <c r="AR139" i="5"/>
  <c r="AQ139" i="5"/>
  <c r="AQ202" i="5"/>
  <c r="AR202" i="5"/>
  <c r="AQ192" i="5"/>
  <c r="AR192" i="5"/>
  <c r="AR187" i="5"/>
  <c r="AQ187" i="5"/>
  <c r="AQ183" i="5"/>
  <c r="AQ169" i="5"/>
  <c r="AR169" i="5"/>
  <c r="AR156" i="5"/>
  <c r="AQ156" i="5"/>
  <c r="AQ147" i="5"/>
  <c r="AR147" i="5"/>
  <c r="AR119" i="5"/>
  <c r="AQ110" i="5"/>
  <c r="AR110" i="5"/>
  <c r="AQ173" i="5"/>
  <c r="AR173" i="5"/>
  <c r="AR201" i="5"/>
  <c r="AR124" i="5"/>
  <c r="AQ141" i="5"/>
  <c r="AR154" i="5"/>
  <c r="AQ154" i="5"/>
  <c r="AQ142" i="5"/>
  <c r="AQ114" i="5"/>
  <c r="AQ109" i="5"/>
  <c r="AR155" i="5"/>
  <c r="AQ200" i="5"/>
  <c r="AR200" i="5"/>
  <c r="AQ177" i="5"/>
  <c r="AQ172" i="5"/>
  <c r="AR172" i="5"/>
  <c r="AR48" i="5"/>
  <c r="AQ50" i="5"/>
  <c r="AF5" i="5"/>
  <c r="AQ33" i="5"/>
  <c r="AQ28" i="5"/>
  <c r="AR27" i="5"/>
  <c r="AQ24" i="5"/>
  <c r="AQ22" i="5"/>
  <c r="AQ16" i="5"/>
  <c r="AQ52" i="5"/>
  <c r="AR39" i="5"/>
  <c r="AR54" i="5"/>
  <c r="AR37" i="5"/>
  <c r="AQ31" i="5"/>
  <c r="AQ38" i="5"/>
  <c r="BE6" i="5"/>
  <c r="AR21" i="5"/>
  <c r="AR165" i="5" l="1"/>
  <c r="AR117" i="5"/>
  <c r="AQ111" i="5"/>
  <c r="AR134" i="5"/>
  <c r="AH57" i="5"/>
  <c r="AH58" i="5" s="1"/>
  <c r="AH59" i="5" s="1"/>
  <c r="AH60" i="5" s="1"/>
  <c r="AH61" i="5" s="1"/>
  <c r="AH62" i="5" s="1"/>
  <c r="AH63" i="5" s="1"/>
  <c r="AH64" i="5" s="1"/>
  <c r="AH65" i="5" s="1"/>
  <c r="AH66" i="5" s="1"/>
  <c r="AH67" i="5" s="1"/>
  <c r="AH68" i="5" s="1"/>
  <c r="AH69" i="5" s="1"/>
  <c r="AH70" i="5" s="1"/>
  <c r="AH71" i="5" s="1"/>
  <c r="AH72" i="5" s="1"/>
  <c r="AH73" i="5" s="1"/>
  <c r="AH74" i="5" s="1"/>
  <c r="AH75" i="5" s="1"/>
  <c r="AH76" i="5" s="1"/>
  <c r="AH77" i="5" s="1"/>
  <c r="AH78" i="5" s="1"/>
  <c r="AH79" i="5" s="1"/>
  <c r="AH80" i="5" s="1"/>
  <c r="AH81" i="5" s="1"/>
  <c r="AH82" i="5" s="1"/>
  <c r="AH83" i="5" s="1"/>
  <c r="AH84" i="5" s="1"/>
  <c r="AH85" i="5" s="1"/>
  <c r="AH86" i="5" s="1"/>
  <c r="AH87" i="5" s="1"/>
  <c r="AH88" i="5" s="1"/>
  <c r="AH89" i="5" s="1"/>
  <c r="AH90" i="5" s="1"/>
  <c r="AH91" i="5" s="1"/>
  <c r="AH92" i="5" s="1"/>
  <c r="AH93" i="5" s="1"/>
  <c r="AH94" i="5" s="1"/>
  <c r="AH95" i="5" s="1"/>
  <c r="AH96" i="5" s="1"/>
  <c r="AH97" i="5" s="1"/>
  <c r="AH98" i="5" s="1"/>
  <c r="AH99" i="5" s="1"/>
  <c r="AH100" i="5" s="1"/>
  <c r="AH101" i="5" s="1"/>
  <c r="AH102" i="5" s="1"/>
  <c r="AH103" i="5" s="1"/>
  <c r="AH104" i="5" s="1"/>
  <c r="AH105" i="5" s="1"/>
  <c r="AH106" i="5" s="1"/>
  <c r="AH107" i="5" s="1"/>
  <c r="AH108" i="5" s="1"/>
  <c r="AH109" i="5" s="1"/>
  <c r="AH110" i="5" s="1"/>
  <c r="AH111" i="5" s="1"/>
  <c r="AH112" i="5" s="1"/>
  <c r="AH113" i="5" s="1"/>
  <c r="AH114" i="5" s="1"/>
  <c r="AH115" i="5" s="1"/>
  <c r="AH116" i="5" s="1"/>
  <c r="AH117" i="5" s="1"/>
  <c r="AH118" i="5" s="1"/>
  <c r="AH119" i="5" s="1"/>
  <c r="AH120" i="5" s="1"/>
  <c r="AH121" i="5" s="1"/>
  <c r="AH122" i="5" s="1"/>
  <c r="AH123" i="5" s="1"/>
  <c r="AH124" i="5" s="1"/>
  <c r="AH125" i="5" s="1"/>
  <c r="AH126" i="5" s="1"/>
  <c r="AH127" i="5" s="1"/>
  <c r="AH128" i="5" s="1"/>
  <c r="AH129" i="5" s="1"/>
  <c r="AH130" i="5" s="1"/>
  <c r="AH131" i="5" s="1"/>
  <c r="AH132" i="5" s="1"/>
  <c r="AH133" i="5" s="1"/>
  <c r="AH134" i="5" s="1"/>
  <c r="AH135" i="5" s="1"/>
  <c r="AH136" i="5" s="1"/>
  <c r="AH137" i="5" s="1"/>
  <c r="AH138" i="5" s="1"/>
  <c r="AH139" i="5" s="1"/>
  <c r="AH140" i="5" s="1"/>
  <c r="AH141" i="5" s="1"/>
  <c r="AH142" i="5" s="1"/>
  <c r="AH143" i="5" s="1"/>
  <c r="AH144" i="5" s="1"/>
  <c r="AH145" i="5" s="1"/>
  <c r="AH146" i="5" s="1"/>
  <c r="AH147" i="5" s="1"/>
  <c r="AH148" i="5" s="1"/>
  <c r="AH149" i="5" s="1"/>
  <c r="AH150" i="5" s="1"/>
  <c r="AH151" i="5" s="1"/>
  <c r="AH152" i="5" s="1"/>
  <c r="AH153" i="5" s="1"/>
  <c r="AH154" i="5" s="1"/>
  <c r="AH155" i="5" s="1"/>
  <c r="AH156" i="5" s="1"/>
  <c r="AH157" i="5" s="1"/>
  <c r="AH158" i="5" s="1"/>
  <c r="AH159" i="5" s="1"/>
  <c r="AH160" i="5" s="1"/>
  <c r="AH161" i="5" s="1"/>
  <c r="AH162" i="5" s="1"/>
  <c r="AH163" i="5" s="1"/>
  <c r="AH164" i="5" s="1"/>
  <c r="AH165" i="5" s="1"/>
  <c r="AH166" i="5" s="1"/>
  <c r="AH167" i="5" s="1"/>
  <c r="AH168" i="5" s="1"/>
  <c r="AH169" i="5" s="1"/>
  <c r="AH170" i="5" s="1"/>
  <c r="AH171" i="5" s="1"/>
  <c r="AH172" i="5" s="1"/>
  <c r="AH173" i="5" s="1"/>
  <c r="AH174" i="5" s="1"/>
  <c r="AH175" i="5" s="1"/>
  <c r="AH176" i="5" s="1"/>
  <c r="AH177" i="5" s="1"/>
  <c r="AH178" i="5" s="1"/>
  <c r="AH179" i="5" s="1"/>
  <c r="AH180" i="5" s="1"/>
  <c r="AH181" i="5" s="1"/>
  <c r="AH182" i="5" s="1"/>
  <c r="AH183" i="5" s="1"/>
  <c r="AH184" i="5" s="1"/>
  <c r="AH185" i="5" s="1"/>
  <c r="AH186" i="5" s="1"/>
  <c r="AH187" i="5" s="1"/>
  <c r="AH188" i="5" s="1"/>
  <c r="AH189" i="5" s="1"/>
  <c r="AH190" i="5" s="1"/>
  <c r="AH191" i="5" s="1"/>
  <c r="AH192" i="5" s="1"/>
  <c r="AH193" i="5" s="1"/>
  <c r="AH194" i="5" s="1"/>
  <c r="AH195" i="5" s="1"/>
  <c r="AH196" i="5" s="1"/>
  <c r="AH197" i="5" s="1"/>
  <c r="AH198" i="5" s="1"/>
  <c r="AH199" i="5" s="1"/>
  <c r="AH200" i="5" s="1"/>
  <c r="AH201" i="5" s="1"/>
  <c r="AH202" i="5" s="1"/>
  <c r="AH203" i="5" s="1"/>
  <c r="AH204" i="5" s="1"/>
  <c r="AR123" i="5"/>
  <c r="AQ128" i="5"/>
  <c r="AG6" i="5"/>
  <c r="P14" i="5"/>
  <c r="AQ93" i="5"/>
  <c r="AR87" i="5"/>
  <c r="P24" i="5"/>
  <c r="P30" i="1" s="1"/>
  <c r="AR170" i="5"/>
  <c r="AQ170" i="5"/>
  <c r="AR159" i="5"/>
  <c r="AR162" i="5"/>
  <c r="AR166" i="5"/>
  <c r="AQ166" i="5"/>
  <c r="AQ168" i="5"/>
  <c r="AR161" i="5"/>
  <c r="AR168" i="5"/>
  <c r="AQ137" i="5"/>
  <c r="AR137" i="5"/>
  <c r="AQ144" i="5"/>
  <c r="AR144" i="5"/>
  <c r="AQ106" i="5"/>
  <c r="AR145" i="5"/>
  <c r="AR106" i="5"/>
  <c r="P12" i="5"/>
  <c r="P22" i="5"/>
  <c r="P28" i="1" s="1"/>
  <c r="AR75" i="5"/>
  <c r="BD5" i="5"/>
  <c r="P13" i="5"/>
  <c r="P25" i="5"/>
  <c r="P31" i="1" s="1"/>
  <c r="AQ74" i="5"/>
  <c r="AR97" i="5"/>
  <c r="AR98" i="5"/>
  <c r="AQ76" i="5"/>
  <c r="AR61" i="5"/>
  <c r="AQ103" i="5"/>
  <c r="AR89" i="5"/>
  <c r="AQ79" i="5"/>
  <c r="AQ68" i="5"/>
  <c r="AQ57" i="5"/>
  <c r="AR101" i="5"/>
  <c r="BE7" i="5"/>
  <c r="BD6" i="5"/>
  <c r="P29" i="5" l="1"/>
  <c r="P38" i="5"/>
  <c r="P38" i="1" s="1"/>
  <c r="P37" i="5"/>
  <c r="P39" i="1" s="1"/>
  <c r="R35" i="5"/>
  <c r="R33" i="5"/>
  <c r="AE106" i="5"/>
  <c r="AE112" i="5"/>
  <c r="AE118" i="5"/>
  <c r="AE124" i="5"/>
  <c r="AE130" i="5"/>
  <c r="AE136" i="5"/>
  <c r="AE142" i="5"/>
  <c r="AE148" i="5"/>
  <c r="AE154" i="5"/>
  <c r="AE160" i="5"/>
  <c r="AE166" i="5"/>
  <c r="AE172" i="5"/>
  <c r="AE184" i="5"/>
  <c r="AE196" i="5"/>
  <c r="AE107" i="5"/>
  <c r="AE113" i="5"/>
  <c r="AE119" i="5"/>
  <c r="AE125" i="5"/>
  <c r="AE131" i="5"/>
  <c r="AE137" i="5"/>
  <c r="AE143" i="5"/>
  <c r="AE149" i="5"/>
  <c r="AE155" i="5"/>
  <c r="AE161" i="5"/>
  <c r="AE167" i="5"/>
  <c r="AE173" i="5"/>
  <c r="AE179" i="5"/>
  <c r="AE185" i="5"/>
  <c r="AE191" i="5"/>
  <c r="AE197" i="5"/>
  <c r="AE108" i="5"/>
  <c r="AE114" i="5"/>
  <c r="AE120" i="5"/>
  <c r="AE126" i="5"/>
  <c r="AE132" i="5"/>
  <c r="AE138" i="5"/>
  <c r="AE144" i="5"/>
  <c r="AE150" i="5"/>
  <c r="AE156" i="5"/>
  <c r="AE162" i="5"/>
  <c r="AE168" i="5"/>
  <c r="AE174" i="5"/>
  <c r="AE180" i="5"/>
  <c r="AE186" i="5"/>
  <c r="AE192" i="5"/>
  <c r="AE109" i="5"/>
  <c r="AE115" i="5"/>
  <c r="AE121" i="5"/>
  <c r="AE127" i="5"/>
  <c r="AE133" i="5"/>
  <c r="AE139" i="5"/>
  <c r="AE145" i="5"/>
  <c r="AE151" i="5"/>
  <c r="AE157" i="5"/>
  <c r="AE163" i="5"/>
  <c r="AE169" i="5"/>
  <c r="AE175" i="5"/>
  <c r="AE181" i="5"/>
  <c r="AE187" i="5"/>
  <c r="AE193" i="5"/>
  <c r="AE199" i="5"/>
  <c r="AE105" i="5"/>
  <c r="AE110" i="5"/>
  <c r="AE116" i="5"/>
  <c r="AE122" i="5"/>
  <c r="AE128" i="5"/>
  <c r="AE134" i="5"/>
  <c r="AE140" i="5"/>
  <c r="AE146" i="5"/>
  <c r="AE152" i="5"/>
  <c r="AE158" i="5"/>
  <c r="AE164" i="5"/>
  <c r="AE170" i="5"/>
  <c r="AE176" i="5"/>
  <c r="AE182" i="5"/>
  <c r="AE188" i="5"/>
  <c r="AE194" i="5"/>
  <c r="AE200" i="5"/>
  <c r="AE111" i="5"/>
  <c r="AE117" i="5"/>
  <c r="AE123" i="5"/>
  <c r="AE129" i="5"/>
  <c r="AE135" i="5"/>
  <c r="AE141" i="5"/>
  <c r="AE147" i="5"/>
  <c r="AE153" i="5"/>
  <c r="AE159" i="5"/>
  <c r="AE165" i="5"/>
  <c r="AE171" i="5"/>
  <c r="AE177" i="5"/>
  <c r="AE183" i="5"/>
  <c r="AE189" i="5"/>
  <c r="AE195" i="5"/>
  <c r="AE201" i="5"/>
  <c r="AE178" i="5"/>
  <c r="AE190" i="5"/>
  <c r="AE202" i="5"/>
  <c r="AE203" i="5"/>
  <c r="AE198" i="5"/>
  <c r="AE204" i="5"/>
  <c r="AE22" i="5"/>
  <c r="AE39" i="5"/>
  <c r="AE104" i="5"/>
  <c r="P28" i="5"/>
  <c r="P42" i="1" s="1"/>
  <c r="P17" i="5"/>
  <c r="P33" i="1" s="1"/>
  <c r="P18" i="5"/>
  <c r="P19" i="5"/>
  <c r="P35" i="1" s="1"/>
  <c r="AF7" i="5"/>
  <c r="AF8" i="5" s="1"/>
  <c r="AF9" i="5" s="1"/>
  <c r="AF10" i="5" s="1"/>
  <c r="AF11" i="5" s="1"/>
  <c r="AF12" i="5" s="1"/>
  <c r="AF13" i="5" s="1"/>
  <c r="AF14" i="5" s="1"/>
  <c r="AF15" i="5" s="1"/>
  <c r="AF16" i="5" s="1"/>
  <c r="AF17" i="5" s="1"/>
  <c r="AF18" i="5" s="1"/>
  <c r="AF19" i="5" s="1"/>
  <c r="AF20" i="5" s="1"/>
  <c r="AF21" i="5" s="1"/>
  <c r="AF22" i="5" s="1"/>
  <c r="AF23" i="5" s="1"/>
  <c r="AF24" i="5" s="1"/>
  <c r="AF25" i="5" s="1"/>
  <c r="AF26" i="5" s="1"/>
  <c r="AF27" i="5" s="1"/>
  <c r="AF28" i="5" s="1"/>
  <c r="AF29" i="5" s="1"/>
  <c r="AF30" i="5" s="1"/>
  <c r="AF31" i="5" s="1"/>
  <c r="AF32" i="5" s="1"/>
  <c r="AF33" i="5" s="1"/>
  <c r="AF34" i="5" s="1"/>
  <c r="AF35" i="5" s="1"/>
  <c r="AF36" i="5" s="1"/>
  <c r="AF37" i="5" s="1"/>
  <c r="AF38" i="5" s="1"/>
  <c r="AF39" i="5" s="1"/>
  <c r="AF40" i="5" s="1"/>
  <c r="AF41" i="5" s="1"/>
  <c r="AF42" i="5" s="1"/>
  <c r="AF43" i="5" s="1"/>
  <c r="AF44" i="5" s="1"/>
  <c r="AF45" i="5" s="1"/>
  <c r="AF46" i="5" s="1"/>
  <c r="AF47" i="5" s="1"/>
  <c r="AF48" i="5" s="1"/>
  <c r="AF49" i="5" s="1"/>
  <c r="AF50" i="5" s="1"/>
  <c r="AF51" i="5" s="1"/>
  <c r="AF52" i="5" s="1"/>
  <c r="AF53" i="5" s="1"/>
  <c r="AF54" i="5" s="1"/>
  <c r="AF55" i="5" s="1"/>
  <c r="AF56" i="5" s="1"/>
  <c r="AF57" i="5" s="1"/>
  <c r="AF58" i="5" s="1"/>
  <c r="AF59" i="5" s="1"/>
  <c r="AF60" i="5" s="1"/>
  <c r="AF61" i="5" s="1"/>
  <c r="AF62" i="5" s="1"/>
  <c r="AF63" i="5" s="1"/>
  <c r="AF64" i="5" s="1"/>
  <c r="AF65" i="5" s="1"/>
  <c r="AF66" i="5" s="1"/>
  <c r="AF67" i="5" s="1"/>
  <c r="AF68" i="5" s="1"/>
  <c r="AF69" i="5" s="1"/>
  <c r="AF70" i="5" s="1"/>
  <c r="AF71" i="5" s="1"/>
  <c r="AF72" i="5" s="1"/>
  <c r="AF73" i="5" s="1"/>
  <c r="AF74" i="5" s="1"/>
  <c r="AF75" i="5" s="1"/>
  <c r="AF76" i="5" s="1"/>
  <c r="AF77" i="5" s="1"/>
  <c r="AF78" i="5" s="1"/>
  <c r="AF79" i="5" s="1"/>
  <c r="AF80" i="5" s="1"/>
  <c r="AF81" i="5" s="1"/>
  <c r="AF82" i="5" s="1"/>
  <c r="AF83" i="5" s="1"/>
  <c r="AF84" i="5" s="1"/>
  <c r="AF85" i="5" s="1"/>
  <c r="AF86" i="5" s="1"/>
  <c r="AF87" i="5" s="1"/>
  <c r="AF88" i="5" s="1"/>
  <c r="AF89" i="5" s="1"/>
  <c r="AF90" i="5" s="1"/>
  <c r="AF91" i="5" s="1"/>
  <c r="AF92" i="5" s="1"/>
  <c r="AF93" i="5" s="1"/>
  <c r="AF94" i="5" s="1"/>
  <c r="AF95" i="5" s="1"/>
  <c r="AF96" i="5" s="1"/>
  <c r="AF97" i="5" s="1"/>
  <c r="AF98" i="5" s="1"/>
  <c r="AF99" i="5" s="1"/>
  <c r="AF100" i="5" s="1"/>
  <c r="AF101" i="5" s="1"/>
  <c r="AF102" i="5" s="1"/>
  <c r="AF103" i="5" s="1"/>
  <c r="AF104" i="5" s="1"/>
  <c r="AF105" i="5" s="1"/>
  <c r="AF106" i="5" s="1"/>
  <c r="AF107" i="5" s="1"/>
  <c r="AF108" i="5" s="1"/>
  <c r="AF109" i="5" s="1"/>
  <c r="AF110" i="5" s="1"/>
  <c r="AF111" i="5" s="1"/>
  <c r="AF112" i="5" s="1"/>
  <c r="AF113" i="5" s="1"/>
  <c r="AF114" i="5" s="1"/>
  <c r="AF115" i="5" s="1"/>
  <c r="AF116" i="5" s="1"/>
  <c r="AF117" i="5" s="1"/>
  <c r="AF118" i="5" s="1"/>
  <c r="AF119" i="5" s="1"/>
  <c r="AF120" i="5" s="1"/>
  <c r="AF121" i="5" s="1"/>
  <c r="AF122" i="5" s="1"/>
  <c r="AF123" i="5" s="1"/>
  <c r="AF124" i="5" s="1"/>
  <c r="AF125" i="5" s="1"/>
  <c r="AF126" i="5" s="1"/>
  <c r="AF127" i="5" s="1"/>
  <c r="AF128" i="5" s="1"/>
  <c r="AF129" i="5" s="1"/>
  <c r="AF130" i="5" s="1"/>
  <c r="AF131" i="5" s="1"/>
  <c r="AF132" i="5" s="1"/>
  <c r="AF133" i="5" s="1"/>
  <c r="AF134" i="5" s="1"/>
  <c r="AF135" i="5" s="1"/>
  <c r="AF136" i="5" s="1"/>
  <c r="AF137" i="5" s="1"/>
  <c r="AF138" i="5" s="1"/>
  <c r="AF139" i="5" s="1"/>
  <c r="AF140" i="5" s="1"/>
  <c r="AF141" i="5" s="1"/>
  <c r="AF142" i="5" s="1"/>
  <c r="AF143" i="5" s="1"/>
  <c r="AF144" i="5" s="1"/>
  <c r="AF145" i="5" s="1"/>
  <c r="AF146" i="5" s="1"/>
  <c r="AF147" i="5" s="1"/>
  <c r="AF148" i="5" s="1"/>
  <c r="AF149" i="5" s="1"/>
  <c r="AF150" i="5" s="1"/>
  <c r="AF151" i="5" s="1"/>
  <c r="AF152" i="5" s="1"/>
  <c r="AF153" i="5" s="1"/>
  <c r="AF154" i="5" s="1"/>
  <c r="AF155" i="5" s="1"/>
  <c r="AF156" i="5" s="1"/>
  <c r="AF157" i="5" s="1"/>
  <c r="AF158" i="5" s="1"/>
  <c r="AF159" i="5" s="1"/>
  <c r="AF160" i="5" s="1"/>
  <c r="AF161" i="5" s="1"/>
  <c r="AF162" i="5" s="1"/>
  <c r="AF163" i="5" s="1"/>
  <c r="AF164" i="5" s="1"/>
  <c r="AF165" i="5" s="1"/>
  <c r="AF166" i="5" s="1"/>
  <c r="AF167" i="5" s="1"/>
  <c r="AF168" i="5" s="1"/>
  <c r="AF169" i="5" s="1"/>
  <c r="AF170" i="5" s="1"/>
  <c r="AF171" i="5" s="1"/>
  <c r="AF172" i="5" s="1"/>
  <c r="AF173" i="5" s="1"/>
  <c r="AF174" i="5" s="1"/>
  <c r="AF175" i="5" s="1"/>
  <c r="AF176" i="5" s="1"/>
  <c r="AF177" i="5" s="1"/>
  <c r="AF178" i="5" s="1"/>
  <c r="AF179" i="5" s="1"/>
  <c r="AF180" i="5" s="1"/>
  <c r="AF181" i="5" s="1"/>
  <c r="AF182" i="5" s="1"/>
  <c r="AF183" i="5" s="1"/>
  <c r="AF184" i="5" s="1"/>
  <c r="AF185" i="5" s="1"/>
  <c r="AF186" i="5" s="1"/>
  <c r="AF187" i="5" s="1"/>
  <c r="AF188" i="5" s="1"/>
  <c r="AF189" i="5" s="1"/>
  <c r="AF190" i="5" s="1"/>
  <c r="AF191" i="5" s="1"/>
  <c r="AF192" i="5" s="1"/>
  <c r="AF193" i="5" s="1"/>
  <c r="AF194" i="5" s="1"/>
  <c r="AF195" i="5" s="1"/>
  <c r="AF196" i="5" s="1"/>
  <c r="AF197" i="5" s="1"/>
  <c r="AF198" i="5" s="1"/>
  <c r="AF199" i="5" s="1"/>
  <c r="AF200" i="5" s="1"/>
  <c r="AF201" i="5" s="1"/>
  <c r="AF202" i="5" s="1"/>
  <c r="AF203" i="5" s="1"/>
  <c r="AF204" i="5" s="1"/>
  <c r="AG7" i="5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G47" i="5" s="1"/>
  <c r="AG48" i="5" s="1"/>
  <c r="AG49" i="5" s="1"/>
  <c r="AG50" i="5" s="1"/>
  <c r="AG51" i="5" s="1"/>
  <c r="AG52" i="5" s="1"/>
  <c r="AG53" i="5" s="1"/>
  <c r="AG54" i="5" s="1"/>
  <c r="AG55" i="5" s="1"/>
  <c r="AG56" i="5" s="1"/>
  <c r="AG57" i="5" s="1"/>
  <c r="AG58" i="5" s="1"/>
  <c r="AG59" i="5" s="1"/>
  <c r="AG60" i="5" s="1"/>
  <c r="AG61" i="5" s="1"/>
  <c r="AG62" i="5" s="1"/>
  <c r="AG63" i="5" s="1"/>
  <c r="AG64" i="5" s="1"/>
  <c r="AG65" i="5" s="1"/>
  <c r="AG66" i="5" s="1"/>
  <c r="AG67" i="5" s="1"/>
  <c r="AG68" i="5" s="1"/>
  <c r="AG69" i="5" s="1"/>
  <c r="AG70" i="5" s="1"/>
  <c r="AG71" i="5" s="1"/>
  <c r="AG72" i="5" s="1"/>
  <c r="AG73" i="5" s="1"/>
  <c r="AG74" i="5" s="1"/>
  <c r="AG75" i="5" s="1"/>
  <c r="AG76" i="5" s="1"/>
  <c r="AG77" i="5" s="1"/>
  <c r="AG78" i="5" s="1"/>
  <c r="AG79" i="5" s="1"/>
  <c r="AG80" i="5" s="1"/>
  <c r="AG81" i="5" s="1"/>
  <c r="AG82" i="5" s="1"/>
  <c r="AG83" i="5" s="1"/>
  <c r="AG84" i="5" s="1"/>
  <c r="AG85" i="5" s="1"/>
  <c r="AG86" i="5" s="1"/>
  <c r="AG87" i="5" s="1"/>
  <c r="AG88" i="5" s="1"/>
  <c r="AG89" i="5" s="1"/>
  <c r="AG90" i="5" s="1"/>
  <c r="AG91" i="5" s="1"/>
  <c r="AG92" i="5" s="1"/>
  <c r="AG93" i="5" s="1"/>
  <c r="AG94" i="5" s="1"/>
  <c r="AG95" i="5" s="1"/>
  <c r="AG96" i="5" s="1"/>
  <c r="AG97" i="5" s="1"/>
  <c r="AG98" i="5" s="1"/>
  <c r="AG99" i="5" s="1"/>
  <c r="AG100" i="5" s="1"/>
  <c r="AG101" i="5" s="1"/>
  <c r="AG102" i="5" s="1"/>
  <c r="AG103" i="5" s="1"/>
  <c r="AG104" i="5" s="1"/>
  <c r="AG105" i="5" s="1"/>
  <c r="AG106" i="5" s="1"/>
  <c r="AG107" i="5" s="1"/>
  <c r="AG108" i="5" s="1"/>
  <c r="AG109" i="5" s="1"/>
  <c r="AG110" i="5" s="1"/>
  <c r="AG111" i="5" s="1"/>
  <c r="AG112" i="5" s="1"/>
  <c r="AG113" i="5" s="1"/>
  <c r="AG114" i="5" s="1"/>
  <c r="AG115" i="5" s="1"/>
  <c r="AG116" i="5" s="1"/>
  <c r="AG117" i="5" s="1"/>
  <c r="AG118" i="5" s="1"/>
  <c r="AG119" i="5" s="1"/>
  <c r="AG120" i="5" s="1"/>
  <c r="AG121" i="5" s="1"/>
  <c r="AG122" i="5" s="1"/>
  <c r="AG123" i="5" s="1"/>
  <c r="AG124" i="5" s="1"/>
  <c r="AG125" i="5" s="1"/>
  <c r="AG126" i="5" s="1"/>
  <c r="AG127" i="5" s="1"/>
  <c r="AG128" i="5" s="1"/>
  <c r="AG129" i="5" s="1"/>
  <c r="AG130" i="5" s="1"/>
  <c r="AG131" i="5" s="1"/>
  <c r="AG132" i="5" s="1"/>
  <c r="AG133" i="5" s="1"/>
  <c r="AG134" i="5" s="1"/>
  <c r="AG135" i="5" s="1"/>
  <c r="AG136" i="5" s="1"/>
  <c r="AG137" i="5" s="1"/>
  <c r="AG138" i="5" s="1"/>
  <c r="AG139" i="5" s="1"/>
  <c r="AG140" i="5" s="1"/>
  <c r="AG141" i="5" s="1"/>
  <c r="AG142" i="5" s="1"/>
  <c r="AG143" i="5" s="1"/>
  <c r="AG144" i="5" s="1"/>
  <c r="AG145" i="5" s="1"/>
  <c r="AG146" i="5" s="1"/>
  <c r="AG147" i="5" s="1"/>
  <c r="AG148" i="5" s="1"/>
  <c r="AG149" i="5" s="1"/>
  <c r="AG150" i="5" s="1"/>
  <c r="AG151" i="5" s="1"/>
  <c r="AG152" i="5" s="1"/>
  <c r="AG153" i="5" s="1"/>
  <c r="AG154" i="5" s="1"/>
  <c r="AG155" i="5" s="1"/>
  <c r="AG156" i="5" s="1"/>
  <c r="AG157" i="5" s="1"/>
  <c r="AG158" i="5" s="1"/>
  <c r="AG159" i="5" s="1"/>
  <c r="AG160" i="5" s="1"/>
  <c r="AG161" i="5" s="1"/>
  <c r="AG162" i="5" s="1"/>
  <c r="AG163" i="5" s="1"/>
  <c r="AG164" i="5" s="1"/>
  <c r="AG165" i="5" s="1"/>
  <c r="AG166" i="5" s="1"/>
  <c r="AG167" i="5" s="1"/>
  <c r="AG168" i="5" s="1"/>
  <c r="AG169" i="5" s="1"/>
  <c r="AG170" i="5" s="1"/>
  <c r="AG171" i="5" s="1"/>
  <c r="AG172" i="5" s="1"/>
  <c r="AG173" i="5" s="1"/>
  <c r="AG174" i="5" s="1"/>
  <c r="AG175" i="5" s="1"/>
  <c r="AG176" i="5" s="1"/>
  <c r="AG177" i="5" s="1"/>
  <c r="AG178" i="5" s="1"/>
  <c r="AG179" i="5" s="1"/>
  <c r="AG180" i="5" s="1"/>
  <c r="AG181" i="5" s="1"/>
  <c r="AG182" i="5" s="1"/>
  <c r="AG183" i="5" s="1"/>
  <c r="AG184" i="5" s="1"/>
  <c r="AG185" i="5" s="1"/>
  <c r="AG186" i="5" s="1"/>
  <c r="AG187" i="5" s="1"/>
  <c r="AG188" i="5" s="1"/>
  <c r="AG189" i="5" s="1"/>
  <c r="AG190" i="5" s="1"/>
  <c r="AG191" i="5" s="1"/>
  <c r="AG192" i="5" s="1"/>
  <c r="AG193" i="5" s="1"/>
  <c r="AG194" i="5" s="1"/>
  <c r="AG195" i="5" s="1"/>
  <c r="AG196" i="5" s="1"/>
  <c r="AG197" i="5" s="1"/>
  <c r="AG198" i="5" s="1"/>
  <c r="AG199" i="5" s="1"/>
  <c r="AG200" i="5" s="1"/>
  <c r="AG201" i="5" s="1"/>
  <c r="AG202" i="5" s="1"/>
  <c r="AG203" i="5" s="1"/>
  <c r="AG204" i="5" s="1"/>
  <c r="Q64" i="5"/>
  <c r="P23" i="5"/>
  <c r="P29" i="1" s="1"/>
  <c r="P25" i="1"/>
  <c r="AK5" i="5"/>
  <c r="AK6" i="5" s="1"/>
  <c r="AK7" i="5" s="1"/>
  <c r="AK8" i="5" s="1"/>
  <c r="AK9" i="5" s="1"/>
  <c r="AK10" i="5" s="1"/>
  <c r="AK11" i="5" s="1"/>
  <c r="AK12" i="5" s="1"/>
  <c r="AK13" i="5" s="1"/>
  <c r="AK14" i="5" s="1"/>
  <c r="AK15" i="5" s="1"/>
  <c r="AK16" i="5" s="1"/>
  <c r="AK17" i="5" s="1"/>
  <c r="AK18" i="5" s="1"/>
  <c r="AK19" i="5" s="1"/>
  <c r="AK20" i="5" s="1"/>
  <c r="AK21" i="5" s="1"/>
  <c r="AK22" i="5" s="1"/>
  <c r="AK23" i="5" s="1"/>
  <c r="AK24" i="5" s="1"/>
  <c r="AK25" i="5" s="1"/>
  <c r="AK26" i="5" s="1"/>
  <c r="AK27" i="5" s="1"/>
  <c r="AK28" i="5" s="1"/>
  <c r="AK29" i="5" s="1"/>
  <c r="AK30" i="5" s="1"/>
  <c r="AK31" i="5" s="1"/>
  <c r="AK32" i="5" s="1"/>
  <c r="AK33" i="5" s="1"/>
  <c r="AK34" i="5" s="1"/>
  <c r="AK35" i="5" s="1"/>
  <c r="AK36" i="5" s="1"/>
  <c r="AK37" i="5" s="1"/>
  <c r="AK38" i="5" s="1"/>
  <c r="AK39" i="5" s="1"/>
  <c r="AK40" i="5" s="1"/>
  <c r="AK41" i="5" s="1"/>
  <c r="AK42" i="5" s="1"/>
  <c r="AK43" i="5" s="1"/>
  <c r="AK44" i="5" s="1"/>
  <c r="AK45" i="5" s="1"/>
  <c r="AK46" i="5" s="1"/>
  <c r="AK47" i="5" s="1"/>
  <c r="AK48" i="5" s="1"/>
  <c r="AK49" i="5" s="1"/>
  <c r="AK50" i="5" s="1"/>
  <c r="AK51" i="5" s="1"/>
  <c r="AK52" i="5" s="1"/>
  <c r="AK53" i="5" s="1"/>
  <c r="AK54" i="5" s="1"/>
  <c r="AK55" i="5" s="1"/>
  <c r="AK56" i="5" s="1"/>
  <c r="AK57" i="5" s="1"/>
  <c r="AK58" i="5" s="1"/>
  <c r="AK59" i="5" s="1"/>
  <c r="AK60" i="5" s="1"/>
  <c r="AK61" i="5" s="1"/>
  <c r="AK62" i="5" s="1"/>
  <c r="AK63" i="5" s="1"/>
  <c r="AK64" i="5" s="1"/>
  <c r="AK65" i="5" s="1"/>
  <c r="AK66" i="5" s="1"/>
  <c r="AK67" i="5" s="1"/>
  <c r="AK68" i="5" s="1"/>
  <c r="AK69" i="5" s="1"/>
  <c r="AK70" i="5" s="1"/>
  <c r="AK71" i="5" s="1"/>
  <c r="AK72" i="5" s="1"/>
  <c r="AK73" i="5" s="1"/>
  <c r="AK74" i="5" s="1"/>
  <c r="AK75" i="5" s="1"/>
  <c r="AK76" i="5" s="1"/>
  <c r="AK77" i="5" s="1"/>
  <c r="AK78" i="5" s="1"/>
  <c r="AK79" i="5" s="1"/>
  <c r="AK80" i="5" s="1"/>
  <c r="AK81" i="5" s="1"/>
  <c r="AK82" i="5" s="1"/>
  <c r="AK83" i="5" s="1"/>
  <c r="AK84" i="5" s="1"/>
  <c r="AK85" i="5" s="1"/>
  <c r="AK86" i="5" s="1"/>
  <c r="AK87" i="5" s="1"/>
  <c r="AK88" i="5" s="1"/>
  <c r="AK89" i="5" s="1"/>
  <c r="AK90" i="5" s="1"/>
  <c r="AK91" i="5" s="1"/>
  <c r="AK92" i="5" s="1"/>
  <c r="AK93" i="5" s="1"/>
  <c r="AK94" i="5" s="1"/>
  <c r="AK95" i="5" s="1"/>
  <c r="AK96" i="5" s="1"/>
  <c r="AK97" i="5" s="1"/>
  <c r="AK98" i="5" s="1"/>
  <c r="AK99" i="5" s="1"/>
  <c r="AK100" i="5" s="1"/>
  <c r="AK101" i="5" s="1"/>
  <c r="AK102" i="5" s="1"/>
  <c r="AK103" i="5" s="1"/>
  <c r="AK104" i="5" s="1"/>
  <c r="AK105" i="5" s="1"/>
  <c r="AK106" i="5" s="1"/>
  <c r="AK107" i="5" s="1"/>
  <c r="AK108" i="5" s="1"/>
  <c r="AK109" i="5" s="1"/>
  <c r="AK110" i="5" s="1"/>
  <c r="AK111" i="5" s="1"/>
  <c r="AK112" i="5" s="1"/>
  <c r="AK113" i="5" s="1"/>
  <c r="AK114" i="5" s="1"/>
  <c r="AK115" i="5" s="1"/>
  <c r="AK116" i="5" s="1"/>
  <c r="AK117" i="5" s="1"/>
  <c r="AK118" i="5" s="1"/>
  <c r="AK119" i="5" s="1"/>
  <c r="AK120" i="5" s="1"/>
  <c r="AK121" i="5" s="1"/>
  <c r="AK122" i="5" s="1"/>
  <c r="AK123" i="5" s="1"/>
  <c r="AK124" i="5" s="1"/>
  <c r="AK125" i="5" s="1"/>
  <c r="AK126" i="5" s="1"/>
  <c r="AK127" i="5" s="1"/>
  <c r="AK128" i="5" s="1"/>
  <c r="AK129" i="5" s="1"/>
  <c r="AK130" i="5" s="1"/>
  <c r="AK131" i="5" s="1"/>
  <c r="AK132" i="5" s="1"/>
  <c r="AK133" i="5" s="1"/>
  <c r="AK134" i="5" s="1"/>
  <c r="AK135" i="5" s="1"/>
  <c r="AK136" i="5" s="1"/>
  <c r="AK137" i="5" s="1"/>
  <c r="AK138" i="5" s="1"/>
  <c r="AK139" i="5" s="1"/>
  <c r="AK140" i="5" s="1"/>
  <c r="AK141" i="5" s="1"/>
  <c r="AK142" i="5" s="1"/>
  <c r="AK143" i="5" s="1"/>
  <c r="AK144" i="5" s="1"/>
  <c r="AK145" i="5" s="1"/>
  <c r="AK146" i="5" s="1"/>
  <c r="AK147" i="5" s="1"/>
  <c r="AK148" i="5" s="1"/>
  <c r="AK149" i="5" s="1"/>
  <c r="AK150" i="5" s="1"/>
  <c r="AK151" i="5" s="1"/>
  <c r="AK152" i="5" s="1"/>
  <c r="AK153" i="5" s="1"/>
  <c r="AK154" i="5" s="1"/>
  <c r="AK155" i="5" s="1"/>
  <c r="AK156" i="5" s="1"/>
  <c r="AK157" i="5" s="1"/>
  <c r="AK158" i="5" s="1"/>
  <c r="AK159" i="5" s="1"/>
  <c r="AK160" i="5" s="1"/>
  <c r="AK161" i="5" s="1"/>
  <c r="AK162" i="5" s="1"/>
  <c r="AK163" i="5" s="1"/>
  <c r="AK164" i="5" s="1"/>
  <c r="AK165" i="5" s="1"/>
  <c r="AK166" i="5" s="1"/>
  <c r="AK167" i="5" s="1"/>
  <c r="AK168" i="5" s="1"/>
  <c r="AK169" i="5" s="1"/>
  <c r="AK170" i="5" s="1"/>
  <c r="AK171" i="5" s="1"/>
  <c r="AK172" i="5" s="1"/>
  <c r="AK173" i="5" s="1"/>
  <c r="AK174" i="5" s="1"/>
  <c r="AK175" i="5" s="1"/>
  <c r="AK176" i="5" s="1"/>
  <c r="AK177" i="5" s="1"/>
  <c r="AK178" i="5" s="1"/>
  <c r="AK179" i="5" s="1"/>
  <c r="AK180" i="5" s="1"/>
  <c r="AK181" i="5" s="1"/>
  <c r="AK182" i="5" s="1"/>
  <c r="AK183" i="5" s="1"/>
  <c r="AK184" i="5" s="1"/>
  <c r="AK185" i="5" s="1"/>
  <c r="AK186" i="5" s="1"/>
  <c r="AK187" i="5" s="1"/>
  <c r="AK188" i="5" s="1"/>
  <c r="AK189" i="5" s="1"/>
  <c r="AK190" i="5" s="1"/>
  <c r="AK191" i="5" s="1"/>
  <c r="AK192" i="5" s="1"/>
  <c r="AK193" i="5" s="1"/>
  <c r="AK194" i="5" s="1"/>
  <c r="AK195" i="5" s="1"/>
  <c r="AK196" i="5" s="1"/>
  <c r="AK197" i="5" s="1"/>
  <c r="AK198" i="5" s="1"/>
  <c r="AK199" i="5" s="1"/>
  <c r="AK200" i="5" s="1"/>
  <c r="AK201" i="5" s="1"/>
  <c r="AK202" i="5" s="1"/>
  <c r="AK203" i="5" s="1"/>
  <c r="AK204" i="5" s="1"/>
  <c r="AE52" i="5"/>
  <c r="AR205" i="5"/>
  <c r="P34" i="5" s="1"/>
  <c r="P48" i="1" s="1"/>
  <c r="AE56" i="5"/>
  <c r="AE40" i="5"/>
  <c r="AE54" i="5"/>
  <c r="AE78" i="5"/>
  <c r="AE51" i="5"/>
  <c r="AE36" i="5"/>
  <c r="AE38" i="5"/>
  <c r="AE92" i="5"/>
  <c r="AE49" i="5"/>
  <c r="AE13" i="5"/>
  <c r="AE103" i="5"/>
  <c r="AE62" i="5"/>
  <c r="AE12" i="5"/>
  <c r="AE16" i="5"/>
  <c r="AE80" i="5"/>
  <c r="AE99" i="5"/>
  <c r="AE24" i="5"/>
  <c r="AE64" i="5"/>
  <c r="AE25" i="5"/>
  <c r="AE86" i="5"/>
  <c r="BJ6" i="5"/>
  <c r="AE46" i="5"/>
  <c r="AE18" i="5"/>
  <c r="AE84" i="5"/>
  <c r="AE15" i="5"/>
  <c r="AE23" i="5"/>
  <c r="AE31" i="5"/>
  <c r="AE100" i="5"/>
  <c r="AE70" i="5"/>
  <c r="AE5" i="5"/>
  <c r="AE74" i="5"/>
  <c r="AE90" i="5"/>
  <c r="AE48" i="5"/>
  <c r="AE37" i="5"/>
  <c r="AE55" i="5"/>
  <c r="AE44" i="5"/>
  <c r="AE81" i="5"/>
  <c r="AE41" i="5"/>
  <c r="AE11" i="5"/>
  <c r="AE21" i="5"/>
  <c r="AE43" i="5"/>
  <c r="AE61" i="5"/>
  <c r="AE32" i="5"/>
  <c r="AE71" i="5"/>
  <c r="AE63" i="5"/>
  <c r="AE85" i="5"/>
  <c r="BJ5" i="5"/>
  <c r="AE89" i="5"/>
  <c r="AE77" i="5"/>
  <c r="AE26" i="5"/>
  <c r="AE57" i="5"/>
  <c r="AE45" i="5"/>
  <c r="AE14" i="5"/>
  <c r="AE75" i="5"/>
  <c r="AE91" i="5"/>
  <c r="AE72" i="5"/>
  <c r="AE59" i="5"/>
  <c r="AE53" i="5"/>
  <c r="AE30" i="5"/>
  <c r="AE6" i="5"/>
  <c r="AE50" i="5"/>
  <c r="AE82" i="5"/>
  <c r="AE67" i="5"/>
  <c r="AE94" i="5"/>
  <c r="AE10" i="5"/>
  <c r="AE97" i="5"/>
  <c r="AE68" i="5"/>
  <c r="AE42" i="5"/>
  <c r="AE60" i="5"/>
  <c r="AE73" i="5"/>
  <c r="AE27" i="5"/>
  <c r="AE79" i="5"/>
  <c r="AE98" i="5"/>
  <c r="AE29" i="5"/>
  <c r="AE96" i="5"/>
  <c r="AE35" i="5"/>
  <c r="AE102" i="5"/>
  <c r="AE17" i="5"/>
  <c r="AE7" i="5"/>
  <c r="AE87" i="5"/>
  <c r="AE58" i="5"/>
  <c r="AE33" i="5"/>
  <c r="AE28" i="5"/>
  <c r="AE20" i="5"/>
  <c r="AE69" i="5"/>
  <c r="AE76" i="5"/>
  <c r="AE34" i="5"/>
  <c r="AE47" i="5"/>
  <c r="AE95" i="5"/>
  <c r="AE66" i="5"/>
  <c r="AE101" i="5"/>
  <c r="P23" i="1"/>
  <c r="AE83" i="5"/>
  <c r="AE65" i="5"/>
  <c r="AE88" i="5"/>
  <c r="AE8" i="5"/>
  <c r="AE9" i="5"/>
  <c r="AE19" i="5"/>
  <c r="AE93" i="5"/>
  <c r="AI5" i="5"/>
  <c r="AI6" i="5" s="1"/>
  <c r="AI7" i="5" s="1"/>
  <c r="AI8" i="5" s="1"/>
  <c r="AI9" i="5" s="1"/>
  <c r="AI10" i="5" s="1"/>
  <c r="AI11" i="5" s="1"/>
  <c r="AI12" i="5" s="1"/>
  <c r="AI13" i="5" s="1"/>
  <c r="AI14" i="5" s="1"/>
  <c r="AI15" i="5" s="1"/>
  <c r="AI16" i="5" s="1"/>
  <c r="AI17" i="5" s="1"/>
  <c r="AI18" i="5" s="1"/>
  <c r="AI19" i="5" s="1"/>
  <c r="AI20" i="5" s="1"/>
  <c r="AI21" i="5" s="1"/>
  <c r="AI22" i="5" s="1"/>
  <c r="AI23" i="5" s="1"/>
  <c r="AI24" i="5" s="1"/>
  <c r="AI25" i="5" s="1"/>
  <c r="AI26" i="5" s="1"/>
  <c r="AI27" i="5" s="1"/>
  <c r="AI28" i="5" s="1"/>
  <c r="AI29" i="5" s="1"/>
  <c r="AI30" i="5" s="1"/>
  <c r="AI31" i="5" s="1"/>
  <c r="AI32" i="5" s="1"/>
  <c r="AI33" i="5" s="1"/>
  <c r="AI34" i="5" s="1"/>
  <c r="AI35" i="5" s="1"/>
  <c r="AI36" i="5" s="1"/>
  <c r="AI37" i="5" s="1"/>
  <c r="AI38" i="5" s="1"/>
  <c r="AI39" i="5" s="1"/>
  <c r="AI40" i="5" s="1"/>
  <c r="AI41" i="5" s="1"/>
  <c r="AI42" i="5" s="1"/>
  <c r="AI43" i="5" s="1"/>
  <c r="AI44" i="5" s="1"/>
  <c r="AI45" i="5" s="1"/>
  <c r="AI46" i="5" s="1"/>
  <c r="AI47" i="5" s="1"/>
  <c r="AI48" i="5" s="1"/>
  <c r="AI49" i="5" s="1"/>
  <c r="AI50" i="5" s="1"/>
  <c r="AI51" i="5" s="1"/>
  <c r="AI52" i="5" s="1"/>
  <c r="AI53" i="5" s="1"/>
  <c r="AI54" i="5" s="1"/>
  <c r="AI55" i="5" s="1"/>
  <c r="AI56" i="5" s="1"/>
  <c r="AI57" i="5" s="1"/>
  <c r="AI58" i="5" s="1"/>
  <c r="AI59" i="5" s="1"/>
  <c r="AI60" i="5" s="1"/>
  <c r="AI61" i="5" s="1"/>
  <c r="AI62" i="5" s="1"/>
  <c r="AI63" i="5" s="1"/>
  <c r="AI64" i="5" s="1"/>
  <c r="AI65" i="5" s="1"/>
  <c r="AI66" i="5" s="1"/>
  <c r="AI67" i="5" s="1"/>
  <c r="AI68" i="5" s="1"/>
  <c r="AI69" i="5" s="1"/>
  <c r="AI70" i="5" s="1"/>
  <c r="AI71" i="5" s="1"/>
  <c r="AI72" i="5" s="1"/>
  <c r="AI73" i="5" s="1"/>
  <c r="AI74" i="5" s="1"/>
  <c r="AI75" i="5" s="1"/>
  <c r="AI76" i="5" s="1"/>
  <c r="AI77" i="5" s="1"/>
  <c r="AI78" i="5" s="1"/>
  <c r="AI79" i="5" s="1"/>
  <c r="AI80" i="5" s="1"/>
  <c r="AI81" i="5" s="1"/>
  <c r="AI82" i="5" s="1"/>
  <c r="AI83" i="5" s="1"/>
  <c r="AI84" i="5" s="1"/>
  <c r="AI85" i="5" s="1"/>
  <c r="AI86" i="5" s="1"/>
  <c r="AI87" i="5" s="1"/>
  <c r="AI88" i="5" s="1"/>
  <c r="AI89" i="5" s="1"/>
  <c r="AI90" i="5" s="1"/>
  <c r="AI91" i="5" s="1"/>
  <c r="AI92" i="5" s="1"/>
  <c r="AI93" i="5" s="1"/>
  <c r="AI94" i="5" s="1"/>
  <c r="AI95" i="5" s="1"/>
  <c r="AI96" i="5" s="1"/>
  <c r="AI97" i="5" s="1"/>
  <c r="AI98" i="5" s="1"/>
  <c r="AI99" i="5" s="1"/>
  <c r="AI100" i="5" s="1"/>
  <c r="AI101" i="5" s="1"/>
  <c r="AI102" i="5" s="1"/>
  <c r="AI103" i="5" s="1"/>
  <c r="AI104" i="5" s="1"/>
  <c r="AI105" i="5" s="1"/>
  <c r="AI106" i="5" s="1"/>
  <c r="AI107" i="5" s="1"/>
  <c r="AI108" i="5" s="1"/>
  <c r="AI109" i="5" s="1"/>
  <c r="AI110" i="5" s="1"/>
  <c r="AI111" i="5" s="1"/>
  <c r="AI112" i="5" s="1"/>
  <c r="AI113" i="5" s="1"/>
  <c r="AI114" i="5" s="1"/>
  <c r="AI115" i="5" s="1"/>
  <c r="AI116" i="5" s="1"/>
  <c r="AI117" i="5" s="1"/>
  <c r="AI118" i="5" s="1"/>
  <c r="AI119" i="5" s="1"/>
  <c r="AI120" i="5" s="1"/>
  <c r="AI121" i="5" s="1"/>
  <c r="AI122" i="5" s="1"/>
  <c r="AI123" i="5" s="1"/>
  <c r="AI124" i="5" s="1"/>
  <c r="AI125" i="5" s="1"/>
  <c r="AI126" i="5" s="1"/>
  <c r="AI127" i="5" s="1"/>
  <c r="AI128" i="5" s="1"/>
  <c r="AI129" i="5" s="1"/>
  <c r="AI130" i="5" s="1"/>
  <c r="AI131" i="5" s="1"/>
  <c r="AI132" i="5" s="1"/>
  <c r="AI133" i="5" s="1"/>
  <c r="AI134" i="5" s="1"/>
  <c r="AI135" i="5" s="1"/>
  <c r="AI136" i="5" s="1"/>
  <c r="AI137" i="5" s="1"/>
  <c r="AI138" i="5" s="1"/>
  <c r="AI139" i="5" s="1"/>
  <c r="AI140" i="5" s="1"/>
  <c r="AI141" i="5" s="1"/>
  <c r="AI142" i="5" s="1"/>
  <c r="AI143" i="5" s="1"/>
  <c r="AI144" i="5" s="1"/>
  <c r="AI145" i="5" s="1"/>
  <c r="AI146" i="5" s="1"/>
  <c r="AI147" i="5" s="1"/>
  <c r="AI148" i="5" s="1"/>
  <c r="AI149" i="5" s="1"/>
  <c r="AI150" i="5" s="1"/>
  <c r="AI151" i="5" s="1"/>
  <c r="AI152" i="5" s="1"/>
  <c r="AI153" i="5" s="1"/>
  <c r="AI154" i="5" s="1"/>
  <c r="AI155" i="5" s="1"/>
  <c r="AI156" i="5" s="1"/>
  <c r="AI157" i="5" s="1"/>
  <c r="AI158" i="5" s="1"/>
  <c r="AI159" i="5" s="1"/>
  <c r="AI160" i="5" s="1"/>
  <c r="AI161" i="5" s="1"/>
  <c r="AI162" i="5" s="1"/>
  <c r="AI163" i="5" s="1"/>
  <c r="AI164" i="5" s="1"/>
  <c r="AI165" i="5" s="1"/>
  <c r="AI166" i="5" s="1"/>
  <c r="AI167" i="5" s="1"/>
  <c r="AI168" i="5" s="1"/>
  <c r="AI169" i="5" s="1"/>
  <c r="AI170" i="5" s="1"/>
  <c r="AI171" i="5" s="1"/>
  <c r="AI172" i="5" s="1"/>
  <c r="AI173" i="5" s="1"/>
  <c r="AI174" i="5" s="1"/>
  <c r="AI175" i="5" s="1"/>
  <c r="AI176" i="5" s="1"/>
  <c r="AI177" i="5" s="1"/>
  <c r="AI178" i="5" s="1"/>
  <c r="AI179" i="5" s="1"/>
  <c r="AI180" i="5" s="1"/>
  <c r="AI181" i="5" s="1"/>
  <c r="AI182" i="5" s="1"/>
  <c r="AI183" i="5" s="1"/>
  <c r="AI184" i="5" s="1"/>
  <c r="AI185" i="5" s="1"/>
  <c r="AI186" i="5" s="1"/>
  <c r="AI187" i="5" s="1"/>
  <c r="AI188" i="5" s="1"/>
  <c r="AI189" i="5" s="1"/>
  <c r="AI190" i="5" s="1"/>
  <c r="AI191" i="5" s="1"/>
  <c r="AI192" i="5" s="1"/>
  <c r="AI193" i="5" s="1"/>
  <c r="AI194" i="5" s="1"/>
  <c r="AI195" i="5" s="1"/>
  <c r="AI196" i="5" s="1"/>
  <c r="AI197" i="5" s="1"/>
  <c r="AI198" i="5" s="1"/>
  <c r="AI199" i="5" s="1"/>
  <c r="AI200" i="5" s="1"/>
  <c r="AI201" i="5" s="1"/>
  <c r="AI202" i="5" s="1"/>
  <c r="AI203" i="5" s="1"/>
  <c r="AI204" i="5" s="1"/>
  <c r="BF6" i="5"/>
  <c r="BG6" i="5" s="1"/>
  <c r="AW11" i="5"/>
  <c r="BF5" i="5"/>
  <c r="BG5" i="5" s="1"/>
  <c r="AW14" i="5"/>
  <c r="BL7" i="5"/>
  <c r="AW12" i="5"/>
  <c r="P24" i="1"/>
  <c r="AW8" i="5"/>
  <c r="V90" i="5"/>
  <c r="AW7" i="5"/>
  <c r="BL5" i="5"/>
  <c r="V89" i="5"/>
  <c r="AW15" i="5"/>
  <c r="AW9" i="5"/>
  <c r="BL6" i="5"/>
  <c r="P43" i="1"/>
  <c r="AW18" i="5"/>
  <c r="AM5" i="5"/>
  <c r="AM6" i="5" s="1"/>
  <c r="AM7" i="5" s="1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M20" i="5" s="1"/>
  <c r="AM21" i="5" s="1"/>
  <c r="AM22" i="5" s="1"/>
  <c r="AM23" i="5" s="1"/>
  <c r="AM24" i="5" s="1"/>
  <c r="AM25" i="5" s="1"/>
  <c r="AM26" i="5" s="1"/>
  <c r="AM27" i="5" s="1"/>
  <c r="AM28" i="5" s="1"/>
  <c r="AM29" i="5" s="1"/>
  <c r="AM30" i="5" s="1"/>
  <c r="AM31" i="5" s="1"/>
  <c r="AM32" i="5" s="1"/>
  <c r="AM33" i="5" s="1"/>
  <c r="AM34" i="5" s="1"/>
  <c r="AM35" i="5" s="1"/>
  <c r="AM36" i="5" s="1"/>
  <c r="AM37" i="5" s="1"/>
  <c r="AM38" i="5" s="1"/>
  <c r="AM39" i="5" s="1"/>
  <c r="AM40" i="5" s="1"/>
  <c r="AM41" i="5" s="1"/>
  <c r="AM42" i="5" s="1"/>
  <c r="AM43" i="5" s="1"/>
  <c r="AM44" i="5" s="1"/>
  <c r="AM45" i="5" s="1"/>
  <c r="AM46" i="5" s="1"/>
  <c r="AM47" i="5" s="1"/>
  <c r="AM48" i="5" s="1"/>
  <c r="AM49" i="5" s="1"/>
  <c r="AM50" i="5" s="1"/>
  <c r="AM51" i="5" s="1"/>
  <c r="AM52" i="5" s="1"/>
  <c r="AM53" i="5" s="1"/>
  <c r="AM54" i="5" s="1"/>
  <c r="AM55" i="5" s="1"/>
  <c r="AM56" i="5" s="1"/>
  <c r="AM57" i="5" s="1"/>
  <c r="AM58" i="5" s="1"/>
  <c r="AM59" i="5" s="1"/>
  <c r="AM60" i="5" s="1"/>
  <c r="AM61" i="5" s="1"/>
  <c r="AM62" i="5" s="1"/>
  <c r="AM63" i="5" s="1"/>
  <c r="AM64" i="5" s="1"/>
  <c r="AM65" i="5" s="1"/>
  <c r="AM66" i="5" s="1"/>
  <c r="AM67" i="5" s="1"/>
  <c r="AM68" i="5" s="1"/>
  <c r="AM69" i="5" s="1"/>
  <c r="AM70" i="5" s="1"/>
  <c r="AM71" i="5" s="1"/>
  <c r="AM72" i="5" s="1"/>
  <c r="AM73" i="5" s="1"/>
  <c r="AM74" i="5" s="1"/>
  <c r="AM75" i="5" s="1"/>
  <c r="AM76" i="5" s="1"/>
  <c r="AM77" i="5" s="1"/>
  <c r="AM78" i="5" s="1"/>
  <c r="AM79" i="5" s="1"/>
  <c r="AM80" i="5" s="1"/>
  <c r="AM81" i="5" s="1"/>
  <c r="AM82" i="5" s="1"/>
  <c r="AM83" i="5" s="1"/>
  <c r="AM84" i="5" s="1"/>
  <c r="AM85" i="5" s="1"/>
  <c r="AM86" i="5" s="1"/>
  <c r="AM87" i="5" s="1"/>
  <c r="AM88" i="5" s="1"/>
  <c r="AM89" i="5" s="1"/>
  <c r="AM90" i="5" s="1"/>
  <c r="AM91" i="5" s="1"/>
  <c r="AM92" i="5" s="1"/>
  <c r="AM93" i="5" s="1"/>
  <c r="AM94" i="5" s="1"/>
  <c r="AM95" i="5" s="1"/>
  <c r="AM96" i="5" s="1"/>
  <c r="AM97" i="5" s="1"/>
  <c r="AM98" i="5" s="1"/>
  <c r="AM99" i="5" s="1"/>
  <c r="AM100" i="5" s="1"/>
  <c r="AM101" i="5" s="1"/>
  <c r="AM102" i="5" s="1"/>
  <c r="AM103" i="5" s="1"/>
  <c r="AM104" i="5" s="1"/>
  <c r="AM105" i="5" s="1"/>
  <c r="AM106" i="5" s="1"/>
  <c r="AM107" i="5" s="1"/>
  <c r="AM108" i="5" s="1"/>
  <c r="AM109" i="5" s="1"/>
  <c r="AM110" i="5" s="1"/>
  <c r="AM111" i="5" s="1"/>
  <c r="AM112" i="5" s="1"/>
  <c r="AM113" i="5" s="1"/>
  <c r="AM114" i="5" s="1"/>
  <c r="AM115" i="5" s="1"/>
  <c r="AM116" i="5" s="1"/>
  <c r="AM117" i="5" s="1"/>
  <c r="AM118" i="5" s="1"/>
  <c r="AM119" i="5" s="1"/>
  <c r="AM120" i="5" s="1"/>
  <c r="AM121" i="5" s="1"/>
  <c r="AM122" i="5" s="1"/>
  <c r="AM123" i="5" s="1"/>
  <c r="AM124" i="5" s="1"/>
  <c r="AM125" i="5" s="1"/>
  <c r="AM126" i="5" s="1"/>
  <c r="AM127" i="5" s="1"/>
  <c r="AM128" i="5" s="1"/>
  <c r="AM129" i="5" s="1"/>
  <c r="AM130" i="5" s="1"/>
  <c r="AM131" i="5" s="1"/>
  <c r="AM132" i="5" s="1"/>
  <c r="AM133" i="5" s="1"/>
  <c r="AM134" i="5" s="1"/>
  <c r="AM135" i="5" s="1"/>
  <c r="AM136" i="5" s="1"/>
  <c r="AM137" i="5" s="1"/>
  <c r="AM138" i="5" s="1"/>
  <c r="AM139" i="5" s="1"/>
  <c r="AM140" i="5" s="1"/>
  <c r="AM141" i="5" s="1"/>
  <c r="AM142" i="5" s="1"/>
  <c r="AM143" i="5" s="1"/>
  <c r="AM144" i="5" s="1"/>
  <c r="AM145" i="5" s="1"/>
  <c r="AM146" i="5" s="1"/>
  <c r="AM147" i="5" s="1"/>
  <c r="AM148" i="5" s="1"/>
  <c r="AM149" i="5" s="1"/>
  <c r="AM150" i="5" s="1"/>
  <c r="AM151" i="5" s="1"/>
  <c r="AM152" i="5" s="1"/>
  <c r="AM153" i="5" s="1"/>
  <c r="AM154" i="5" s="1"/>
  <c r="AM155" i="5" s="1"/>
  <c r="AM156" i="5" s="1"/>
  <c r="AM157" i="5" s="1"/>
  <c r="AM158" i="5" s="1"/>
  <c r="AM159" i="5" s="1"/>
  <c r="AM160" i="5" s="1"/>
  <c r="AM161" i="5" s="1"/>
  <c r="AM162" i="5" s="1"/>
  <c r="AM163" i="5" s="1"/>
  <c r="AM164" i="5" s="1"/>
  <c r="AM165" i="5" s="1"/>
  <c r="AM166" i="5" s="1"/>
  <c r="AM167" i="5" s="1"/>
  <c r="AM168" i="5" s="1"/>
  <c r="AM169" i="5" s="1"/>
  <c r="AM170" i="5" s="1"/>
  <c r="AM171" i="5" s="1"/>
  <c r="AM172" i="5" s="1"/>
  <c r="AM173" i="5" s="1"/>
  <c r="AM174" i="5" s="1"/>
  <c r="AM175" i="5" s="1"/>
  <c r="AM176" i="5" s="1"/>
  <c r="AM177" i="5" s="1"/>
  <c r="AM178" i="5" s="1"/>
  <c r="AM179" i="5" s="1"/>
  <c r="AM180" i="5" s="1"/>
  <c r="AM181" i="5" s="1"/>
  <c r="AM182" i="5" s="1"/>
  <c r="AM183" i="5" s="1"/>
  <c r="AM184" i="5" s="1"/>
  <c r="AM185" i="5" s="1"/>
  <c r="AM186" i="5" s="1"/>
  <c r="AM187" i="5" s="1"/>
  <c r="AM188" i="5" s="1"/>
  <c r="AM189" i="5" s="1"/>
  <c r="AM190" i="5" s="1"/>
  <c r="AM191" i="5" s="1"/>
  <c r="AM192" i="5" s="1"/>
  <c r="AM193" i="5" s="1"/>
  <c r="AM194" i="5" s="1"/>
  <c r="AM195" i="5" s="1"/>
  <c r="AM196" i="5" s="1"/>
  <c r="AM197" i="5" s="1"/>
  <c r="AM198" i="5" s="1"/>
  <c r="AM199" i="5" s="1"/>
  <c r="AM200" i="5" s="1"/>
  <c r="AM201" i="5" s="1"/>
  <c r="AM202" i="5" s="1"/>
  <c r="AM203" i="5" s="1"/>
  <c r="AM204" i="5" s="1"/>
  <c r="AW5" i="5"/>
  <c r="AZ5" i="5" s="1"/>
  <c r="AZ6" i="5" s="1"/>
  <c r="AZ7" i="5" s="1"/>
  <c r="AZ8" i="5" s="1"/>
  <c r="AZ9" i="5" s="1"/>
  <c r="AZ10" i="5" s="1"/>
  <c r="AZ11" i="5" s="1"/>
  <c r="AZ12" i="5" s="1"/>
  <c r="AZ13" i="5" s="1"/>
  <c r="AZ14" i="5" s="1"/>
  <c r="AZ15" i="5" s="1"/>
  <c r="AZ16" i="5" s="1"/>
  <c r="AN5" i="5"/>
  <c r="AN6" i="5" s="1"/>
  <c r="AN7" i="5" s="1"/>
  <c r="AN8" i="5" s="1"/>
  <c r="AN9" i="5" s="1"/>
  <c r="AN10" i="5" s="1"/>
  <c r="AN11" i="5" s="1"/>
  <c r="AN12" i="5" s="1"/>
  <c r="AN13" i="5" s="1"/>
  <c r="AN14" i="5" s="1"/>
  <c r="AN15" i="5" s="1"/>
  <c r="AN16" i="5" s="1"/>
  <c r="AN17" i="5" s="1"/>
  <c r="AN18" i="5" s="1"/>
  <c r="AN19" i="5" s="1"/>
  <c r="AN20" i="5" s="1"/>
  <c r="AN21" i="5" s="1"/>
  <c r="AN22" i="5" s="1"/>
  <c r="AN23" i="5" s="1"/>
  <c r="AN24" i="5" s="1"/>
  <c r="AN25" i="5" s="1"/>
  <c r="AN26" i="5" s="1"/>
  <c r="AN27" i="5" s="1"/>
  <c r="AN28" i="5" s="1"/>
  <c r="AN29" i="5" s="1"/>
  <c r="AN30" i="5" s="1"/>
  <c r="AN31" i="5" s="1"/>
  <c r="AN32" i="5" s="1"/>
  <c r="AN33" i="5" s="1"/>
  <c r="AN34" i="5" s="1"/>
  <c r="AN35" i="5" s="1"/>
  <c r="AN36" i="5" s="1"/>
  <c r="AN37" i="5" s="1"/>
  <c r="AN38" i="5" s="1"/>
  <c r="AN39" i="5" s="1"/>
  <c r="AN40" i="5" s="1"/>
  <c r="AN41" i="5" s="1"/>
  <c r="AN42" i="5" s="1"/>
  <c r="AN43" i="5" s="1"/>
  <c r="AN44" i="5" s="1"/>
  <c r="AN45" i="5" s="1"/>
  <c r="AN46" i="5" s="1"/>
  <c r="AN47" i="5" s="1"/>
  <c r="AN48" i="5" s="1"/>
  <c r="AN49" i="5" s="1"/>
  <c r="AN50" i="5" s="1"/>
  <c r="AN51" i="5" s="1"/>
  <c r="AN52" i="5" s="1"/>
  <c r="AN53" i="5" s="1"/>
  <c r="AN54" i="5" s="1"/>
  <c r="AN55" i="5" s="1"/>
  <c r="AN56" i="5" s="1"/>
  <c r="AN57" i="5" s="1"/>
  <c r="AN58" i="5" s="1"/>
  <c r="AN59" i="5" s="1"/>
  <c r="AN60" i="5" s="1"/>
  <c r="AN61" i="5" s="1"/>
  <c r="AN62" i="5" s="1"/>
  <c r="AN63" i="5" s="1"/>
  <c r="AN64" i="5" s="1"/>
  <c r="AN65" i="5" s="1"/>
  <c r="AN66" i="5" s="1"/>
  <c r="AN67" i="5" s="1"/>
  <c r="AN68" i="5" s="1"/>
  <c r="AN69" i="5" s="1"/>
  <c r="AN70" i="5" s="1"/>
  <c r="AN71" i="5" s="1"/>
  <c r="AN72" i="5" s="1"/>
  <c r="AN73" i="5" s="1"/>
  <c r="AN74" i="5" s="1"/>
  <c r="AN75" i="5" s="1"/>
  <c r="AN76" i="5" s="1"/>
  <c r="AN77" i="5" s="1"/>
  <c r="AN78" i="5" s="1"/>
  <c r="AN79" i="5" s="1"/>
  <c r="AN80" i="5" s="1"/>
  <c r="AN81" i="5" s="1"/>
  <c r="AN82" i="5" s="1"/>
  <c r="AN83" i="5" s="1"/>
  <c r="AN84" i="5" s="1"/>
  <c r="AN85" i="5" s="1"/>
  <c r="AN86" i="5" s="1"/>
  <c r="AN87" i="5" s="1"/>
  <c r="AN88" i="5" s="1"/>
  <c r="AN89" i="5" s="1"/>
  <c r="AN90" i="5" s="1"/>
  <c r="AN91" i="5" s="1"/>
  <c r="AN92" i="5" s="1"/>
  <c r="AN93" i="5" s="1"/>
  <c r="AN94" i="5" s="1"/>
  <c r="AN95" i="5" s="1"/>
  <c r="AN96" i="5" s="1"/>
  <c r="AN97" i="5" s="1"/>
  <c r="AN98" i="5" s="1"/>
  <c r="AN99" i="5" s="1"/>
  <c r="AN100" i="5" s="1"/>
  <c r="AN101" i="5" s="1"/>
  <c r="AN102" i="5" s="1"/>
  <c r="AN103" i="5" s="1"/>
  <c r="AN104" i="5" s="1"/>
  <c r="AN105" i="5" s="1"/>
  <c r="AN106" i="5" s="1"/>
  <c r="AN107" i="5" s="1"/>
  <c r="AN108" i="5" s="1"/>
  <c r="AN109" i="5" s="1"/>
  <c r="AN110" i="5" s="1"/>
  <c r="AN111" i="5" s="1"/>
  <c r="AN112" i="5" s="1"/>
  <c r="AN113" i="5" s="1"/>
  <c r="AN114" i="5" s="1"/>
  <c r="AN115" i="5" s="1"/>
  <c r="AN116" i="5" s="1"/>
  <c r="AN117" i="5" s="1"/>
  <c r="AN118" i="5" s="1"/>
  <c r="AN119" i="5" s="1"/>
  <c r="AN120" i="5" s="1"/>
  <c r="AN121" i="5" s="1"/>
  <c r="AN122" i="5" s="1"/>
  <c r="AN123" i="5" s="1"/>
  <c r="AN124" i="5" s="1"/>
  <c r="AN125" i="5" s="1"/>
  <c r="AN126" i="5" s="1"/>
  <c r="AN127" i="5" s="1"/>
  <c r="AN128" i="5" s="1"/>
  <c r="AN129" i="5" s="1"/>
  <c r="AN130" i="5" s="1"/>
  <c r="AN131" i="5" s="1"/>
  <c r="AN132" i="5" s="1"/>
  <c r="AN133" i="5" s="1"/>
  <c r="AN134" i="5" s="1"/>
  <c r="AN135" i="5" s="1"/>
  <c r="AN136" i="5" s="1"/>
  <c r="AN137" i="5" s="1"/>
  <c r="AN138" i="5" s="1"/>
  <c r="AN139" i="5" s="1"/>
  <c r="AN140" i="5" s="1"/>
  <c r="AN141" i="5" s="1"/>
  <c r="AN142" i="5" s="1"/>
  <c r="AN143" i="5" s="1"/>
  <c r="AN144" i="5" s="1"/>
  <c r="AN145" i="5" s="1"/>
  <c r="AN146" i="5" s="1"/>
  <c r="AN147" i="5" s="1"/>
  <c r="AN148" i="5" s="1"/>
  <c r="AN149" i="5" s="1"/>
  <c r="AN150" i="5" s="1"/>
  <c r="AN151" i="5" s="1"/>
  <c r="AN152" i="5" s="1"/>
  <c r="AN153" i="5" s="1"/>
  <c r="AN154" i="5" s="1"/>
  <c r="AN155" i="5" s="1"/>
  <c r="AN156" i="5" s="1"/>
  <c r="AN157" i="5" s="1"/>
  <c r="AN158" i="5" s="1"/>
  <c r="AN159" i="5" s="1"/>
  <c r="AN160" i="5" s="1"/>
  <c r="AN161" i="5" s="1"/>
  <c r="AN162" i="5" s="1"/>
  <c r="AN163" i="5" s="1"/>
  <c r="AN164" i="5" s="1"/>
  <c r="AN165" i="5" s="1"/>
  <c r="AN166" i="5" s="1"/>
  <c r="AN167" i="5" s="1"/>
  <c r="AN168" i="5" s="1"/>
  <c r="AN169" i="5" s="1"/>
  <c r="AN170" i="5" s="1"/>
  <c r="AN171" i="5" s="1"/>
  <c r="AN172" i="5" s="1"/>
  <c r="AN173" i="5" s="1"/>
  <c r="AN174" i="5" s="1"/>
  <c r="AN175" i="5" s="1"/>
  <c r="AN176" i="5" s="1"/>
  <c r="AN177" i="5" s="1"/>
  <c r="AN178" i="5" s="1"/>
  <c r="AN179" i="5" s="1"/>
  <c r="AN180" i="5" s="1"/>
  <c r="AN181" i="5" s="1"/>
  <c r="AN182" i="5" s="1"/>
  <c r="AN183" i="5" s="1"/>
  <c r="AN184" i="5" s="1"/>
  <c r="AN185" i="5" s="1"/>
  <c r="AN186" i="5" s="1"/>
  <c r="AN187" i="5" s="1"/>
  <c r="AN188" i="5" s="1"/>
  <c r="AN189" i="5" s="1"/>
  <c r="AN190" i="5" s="1"/>
  <c r="AN191" i="5" s="1"/>
  <c r="AN192" i="5" s="1"/>
  <c r="AN193" i="5" s="1"/>
  <c r="AN194" i="5" s="1"/>
  <c r="AN195" i="5" s="1"/>
  <c r="AN196" i="5" s="1"/>
  <c r="AN197" i="5" s="1"/>
  <c r="AN198" i="5" s="1"/>
  <c r="AN199" i="5" s="1"/>
  <c r="AN200" i="5" s="1"/>
  <c r="AN201" i="5" s="1"/>
  <c r="AN202" i="5" s="1"/>
  <c r="AN203" i="5" s="1"/>
  <c r="AN204" i="5" s="1"/>
  <c r="AJ5" i="5"/>
  <c r="AJ6" i="5" s="1"/>
  <c r="AJ7" i="5" s="1"/>
  <c r="AJ8" i="5" s="1"/>
  <c r="AJ9" i="5" s="1"/>
  <c r="AJ10" i="5" s="1"/>
  <c r="AJ11" i="5" s="1"/>
  <c r="AJ12" i="5" s="1"/>
  <c r="AJ13" i="5" s="1"/>
  <c r="AJ14" i="5" s="1"/>
  <c r="AJ15" i="5" s="1"/>
  <c r="AJ16" i="5" s="1"/>
  <c r="AJ17" i="5" s="1"/>
  <c r="AJ18" i="5" s="1"/>
  <c r="AJ19" i="5" s="1"/>
  <c r="AJ20" i="5" s="1"/>
  <c r="AJ21" i="5" s="1"/>
  <c r="AJ22" i="5" s="1"/>
  <c r="AJ23" i="5" s="1"/>
  <c r="AJ24" i="5" s="1"/>
  <c r="AJ25" i="5" s="1"/>
  <c r="AJ26" i="5" s="1"/>
  <c r="AJ27" i="5" s="1"/>
  <c r="AJ28" i="5" s="1"/>
  <c r="AJ29" i="5" s="1"/>
  <c r="AJ30" i="5" s="1"/>
  <c r="AJ31" i="5" s="1"/>
  <c r="AJ32" i="5" s="1"/>
  <c r="AJ33" i="5" s="1"/>
  <c r="AJ34" i="5" s="1"/>
  <c r="AJ35" i="5" s="1"/>
  <c r="AJ36" i="5" s="1"/>
  <c r="AJ37" i="5" s="1"/>
  <c r="AJ38" i="5" s="1"/>
  <c r="AJ39" i="5" s="1"/>
  <c r="AJ40" i="5" s="1"/>
  <c r="AJ41" i="5" s="1"/>
  <c r="AJ42" i="5" s="1"/>
  <c r="AJ43" i="5" s="1"/>
  <c r="AJ44" i="5" s="1"/>
  <c r="AJ45" i="5" s="1"/>
  <c r="AJ46" i="5" s="1"/>
  <c r="AJ47" i="5" s="1"/>
  <c r="AJ48" i="5" s="1"/>
  <c r="AJ49" i="5" s="1"/>
  <c r="AJ50" i="5" s="1"/>
  <c r="AJ51" i="5" s="1"/>
  <c r="AJ52" i="5" s="1"/>
  <c r="AJ53" i="5" s="1"/>
  <c r="AJ54" i="5" s="1"/>
  <c r="AJ55" i="5" s="1"/>
  <c r="AJ56" i="5" s="1"/>
  <c r="AJ57" i="5" s="1"/>
  <c r="AJ58" i="5" s="1"/>
  <c r="AJ59" i="5" s="1"/>
  <c r="AJ60" i="5" s="1"/>
  <c r="AJ61" i="5" s="1"/>
  <c r="AJ62" i="5" s="1"/>
  <c r="AJ63" i="5" s="1"/>
  <c r="AJ64" i="5" s="1"/>
  <c r="AJ65" i="5" s="1"/>
  <c r="AJ66" i="5" s="1"/>
  <c r="AJ67" i="5" s="1"/>
  <c r="AJ68" i="5" s="1"/>
  <c r="AJ69" i="5" s="1"/>
  <c r="AJ70" i="5" s="1"/>
  <c r="AJ71" i="5" s="1"/>
  <c r="AJ72" i="5" s="1"/>
  <c r="AJ73" i="5" s="1"/>
  <c r="AJ74" i="5" s="1"/>
  <c r="AJ75" i="5" s="1"/>
  <c r="AJ76" i="5" s="1"/>
  <c r="AJ77" i="5" s="1"/>
  <c r="AJ78" i="5" s="1"/>
  <c r="AJ79" i="5" s="1"/>
  <c r="AJ80" i="5" s="1"/>
  <c r="AJ81" i="5" s="1"/>
  <c r="AJ82" i="5" s="1"/>
  <c r="AJ83" i="5" s="1"/>
  <c r="AJ84" i="5" s="1"/>
  <c r="AJ85" i="5" s="1"/>
  <c r="AJ86" i="5" s="1"/>
  <c r="AJ87" i="5" s="1"/>
  <c r="AJ88" i="5" s="1"/>
  <c r="AJ89" i="5" s="1"/>
  <c r="AJ90" i="5" s="1"/>
  <c r="AJ91" i="5" s="1"/>
  <c r="AJ92" i="5" s="1"/>
  <c r="AJ93" i="5" s="1"/>
  <c r="AJ94" i="5" s="1"/>
  <c r="AJ95" i="5" s="1"/>
  <c r="AJ96" i="5" s="1"/>
  <c r="AJ97" i="5" s="1"/>
  <c r="AJ98" i="5" s="1"/>
  <c r="AJ99" i="5" s="1"/>
  <c r="AJ100" i="5" s="1"/>
  <c r="AJ101" i="5" s="1"/>
  <c r="AJ102" i="5" s="1"/>
  <c r="AJ103" i="5" s="1"/>
  <c r="AJ104" i="5" s="1"/>
  <c r="AJ105" i="5" s="1"/>
  <c r="AJ106" i="5" s="1"/>
  <c r="AJ107" i="5" s="1"/>
  <c r="AJ108" i="5" s="1"/>
  <c r="AJ109" i="5" s="1"/>
  <c r="AJ110" i="5" s="1"/>
  <c r="AJ111" i="5" s="1"/>
  <c r="AJ112" i="5" s="1"/>
  <c r="AJ113" i="5" s="1"/>
  <c r="AJ114" i="5" s="1"/>
  <c r="AJ115" i="5" s="1"/>
  <c r="AJ116" i="5" s="1"/>
  <c r="AJ117" i="5" s="1"/>
  <c r="AJ118" i="5" s="1"/>
  <c r="AJ119" i="5" s="1"/>
  <c r="AJ120" i="5" s="1"/>
  <c r="AJ121" i="5" s="1"/>
  <c r="AJ122" i="5" s="1"/>
  <c r="AJ123" i="5" s="1"/>
  <c r="AJ124" i="5" s="1"/>
  <c r="AJ125" i="5" s="1"/>
  <c r="AJ126" i="5" s="1"/>
  <c r="AJ127" i="5" s="1"/>
  <c r="AJ128" i="5" s="1"/>
  <c r="AJ129" i="5" s="1"/>
  <c r="AJ130" i="5" s="1"/>
  <c r="AJ131" i="5" s="1"/>
  <c r="AJ132" i="5" s="1"/>
  <c r="AJ133" i="5" s="1"/>
  <c r="AJ134" i="5" s="1"/>
  <c r="AJ135" i="5" s="1"/>
  <c r="AJ136" i="5" s="1"/>
  <c r="AJ137" i="5" s="1"/>
  <c r="AJ138" i="5" s="1"/>
  <c r="AJ139" i="5" s="1"/>
  <c r="AJ140" i="5" s="1"/>
  <c r="AJ141" i="5" s="1"/>
  <c r="AJ142" i="5" s="1"/>
  <c r="AJ143" i="5" s="1"/>
  <c r="AJ144" i="5" s="1"/>
  <c r="AJ145" i="5" s="1"/>
  <c r="AJ146" i="5" s="1"/>
  <c r="AJ147" i="5" s="1"/>
  <c r="AJ148" i="5" s="1"/>
  <c r="AJ149" i="5" s="1"/>
  <c r="AJ150" i="5" s="1"/>
  <c r="AJ151" i="5" s="1"/>
  <c r="AJ152" i="5" s="1"/>
  <c r="AJ153" i="5" s="1"/>
  <c r="AJ154" i="5" s="1"/>
  <c r="AJ155" i="5" s="1"/>
  <c r="AJ156" i="5" s="1"/>
  <c r="AJ157" i="5" s="1"/>
  <c r="AJ158" i="5" s="1"/>
  <c r="AJ159" i="5" s="1"/>
  <c r="AJ160" i="5" s="1"/>
  <c r="AJ161" i="5" s="1"/>
  <c r="AJ162" i="5" s="1"/>
  <c r="AJ163" i="5" s="1"/>
  <c r="AJ164" i="5" s="1"/>
  <c r="AJ165" i="5" s="1"/>
  <c r="AJ166" i="5" s="1"/>
  <c r="AJ167" i="5" s="1"/>
  <c r="AJ168" i="5" s="1"/>
  <c r="AJ169" i="5" s="1"/>
  <c r="AJ170" i="5" s="1"/>
  <c r="AJ171" i="5" s="1"/>
  <c r="AJ172" i="5" s="1"/>
  <c r="AJ173" i="5" s="1"/>
  <c r="AJ174" i="5" s="1"/>
  <c r="AJ175" i="5" s="1"/>
  <c r="AJ176" i="5" s="1"/>
  <c r="AJ177" i="5" s="1"/>
  <c r="AJ178" i="5" s="1"/>
  <c r="AJ179" i="5" s="1"/>
  <c r="AJ180" i="5" s="1"/>
  <c r="AJ181" i="5" s="1"/>
  <c r="AJ182" i="5" s="1"/>
  <c r="AJ183" i="5" s="1"/>
  <c r="AJ184" i="5" s="1"/>
  <c r="AJ185" i="5" s="1"/>
  <c r="AJ186" i="5" s="1"/>
  <c r="AJ187" i="5" s="1"/>
  <c r="AJ188" i="5" s="1"/>
  <c r="AJ189" i="5" s="1"/>
  <c r="AJ190" i="5" s="1"/>
  <c r="AJ191" i="5" s="1"/>
  <c r="AJ192" i="5" s="1"/>
  <c r="AJ193" i="5" s="1"/>
  <c r="AJ194" i="5" s="1"/>
  <c r="AJ195" i="5" s="1"/>
  <c r="AJ196" i="5" s="1"/>
  <c r="AJ197" i="5" s="1"/>
  <c r="AJ198" i="5" s="1"/>
  <c r="AJ199" i="5" s="1"/>
  <c r="AJ200" i="5" s="1"/>
  <c r="AJ201" i="5" s="1"/>
  <c r="AJ202" i="5" s="1"/>
  <c r="AJ203" i="5" s="1"/>
  <c r="AJ204" i="5" s="1"/>
  <c r="AL5" i="5"/>
  <c r="AL6" i="5" s="1"/>
  <c r="AL7" i="5" s="1"/>
  <c r="AL8" i="5" s="1"/>
  <c r="AL9" i="5" s="1"/>
  <c r="AL10" i="5" s="1"/>
  <c r="AL11" i="5" s="1"/>
  <c r="AL12" i="5" s="1"/>
  <c r="AL13" i="5" s="1"/>
  <c r="AL14" i="5" s="1"/>
  <c r="AL15" i="5" s="1"/>
  <c r="AL16" i="5" s="1"/>
  <c r="AL17" i="5" s="1"/>
  <c r="AL18" i="5" s="1"/>
  <c r="AL19" i="5" s="1"/>
  <c r="AL20" i="5" s="1"/>
  <c r="AL21" i="5" s="1"/>
  <c r="AL22" i="5" s="1"/>
  <c r="AL23" i="5" s="1"/>
  <c r="AL24" i="5" s="1"/>
  <c r="AL25" i="5" s="1"/>
  <c r="AL26" i="5" s="1"/>
  <c r="AL27" i="5" s="1"/>
  <c r="AL28" i="5" s="1"/>
  <c r="AL29" i="5" s="1"/>
  <c r="AL30" i="5" s="1"/>
  <c r="AL31" i="5" s="1"/>
  <c r="AL32" i="5" s="1"/>
  <c r="AL33" i="5" s="1"/>
  <c r="AL34" i="5" s="1"/>
  <c r="AL35" i="5" s="1"/>
  <c r="AL36" i="5" s="1"/>
  <c r="AL37" i="5" s="1"/>
  <c r="AL38" i="5" s="1"/>
  <c r="AL39" i="5" s="1"/>
  <c r="AL40" i="5" s="1"/>
  <c r="AL41" i="5" s="1"/>
  <c r="AL42" i="5" s="1"/>
  <c r="AL43" i="5" s="1"/>
  <c r="AL44" i="5" s="1"/>
  <c r="AL45" i="5" s="1"/>
  <c r="AL46" i="5" s="1"/>
  <c r="AL47" i="5" s="1"/>
  <c r="AL48" i="5" s="1"/>
  <c r="AL49" i="5" s="1"/>
  <c r="AL50" i="5" s="1"/>
  <c r="AL51" i="5" s="1"/>
  <c r="AL52" i="5" s="1"/>
  <c r="AL53" i="5" s="1"/>
  <c r="AL54" i="5" s="1"/>
  <c r="AL55" i="5" s="1"/>
  <c r="AL56" i="5" s="1"/>
  <c r="AL57" i="5" s="1"/>
  <c r="AL58" i="5" s="1"/>
  <c r="AL59" i="5" s="1"/>
  <c r="AL60" i="5" s="1"/>
  <c r="AL61" i="5" s="1"/>
  <c r="AL62" i="5" s="1"/>
  <c r="AL63" i="5" s="1"/>
  <c r="AL64" i="5" s="1"/>
  <c r="AL65" i="5" s="1"/>
  <c r="AL66" i="5" s="1"/>
  <c r="AL67" i="5" s="1"/>
  <c r="AL68" i="5" s="1"/>
  <c r="AL69" i="5" s="1"/>
  <c r="AL70" i="5" s="1"/>
  <c r="AL71" i="5" s="1"/>
  <c r="AL72" i="5" s="1"/>
  <c r="AL73" i="5" s="1"/>
  <c r="AL74" i="5" s="1"/>
  <c r="AL75" i="5" s="1"/>
  <c r="AL76" i="5" s="1"/>
  <c r="AL77" i="5" s="1"/>
  <c r="AL78" i="5" s="1"/>
  <c r="AL79" i="5" s="1"/>
  <c r="AL80" i="5" s="1"/>
  <c r="AL81" i="5" s="1"/>
  <c r="AL82" i="5" s="1"/>
  <c r="AL83" i="5" s="1"/>
  <c r="AL84" i="5" s="1"/>
  <c r="AL85" i="5" s="1"/>
  <c r="AL86" i="5" s="1"/>
  <c r="AL87" i="5" s="1"/>
  <c r="AL88" i="5" s="1"/>
  <c r="AL89" i="5" s="1"/>
  <c r="AL90" i="5" s="1"/>
  <c r="AL91" i="5" s="1"/>
  <c r="AL92" i="5" s="1"/>
  <c r="AL93" i="5" s="1"/>
  <c r="AL94" i="5" s="1"/>
  <c r="AL95" i="5" s="1"/>
  <c r="AL96" i="5" s="1"/>
  <c r="AL97" i="5" s="1"/>
  <c r="AL98" i="5" s="1"/>
  <c r="AL99" i="5" s="1"/>
  <c r="AL100" i="5" s="1"/>
  <c r="AL101" i="5" s="1"/>
  <c r="AL102" i="5" s="1"/>
  <c r="AL103" i="5" s="1"/>
  <c r="AL104" i="5" s="1"/>
  <c r="AL105" i="5" s="1"/>
  <c r="AL106" i="5" s="1"/>
  <c r="AL107" i="5" s="1"/>
  <c r="AL108" i="5" s="1"/>
  <c r="AL109" i="5" s="1"/>
  <c r="AL110" i="5" s="1"/>
  <c r="AL111" i="5" s="1"/>
  <c r="AL112" i="5" s="1"/>
  <c r="AL113" i="5" s="1"/>
  <c r="AL114" i="5" s="1"/>
  <c r="AL115" i="5" s="1"/>
  <c r="AL116" i="5" s="1"/>
  <c r="AL117" i="5" s="1"/>
  <c r="AL118" i="5" s="1"/>
  <c r="AL119" i="5" s="1"/>
  <c r="AL120" i="5" s="1"/>
  <c r="AL121" i="5" s="1"/>
  <c r="AL122" i="5" s="1"/>
  <c r="AL123" i="5" s="1"/>
  <c r="AL124" i="5" s="1"/>
  <c r="AL125" i="5" s="1"/>
  <c r="AL126" i="5" s="1"/>
  <c r="AL127" i="5" s="1"/>
  <c r="AL128" i="5" s="1"/>
  <c r="AL129" i="5" s="1"/>
  <c r="AL130" i="5" s="1"/>
  <c r="AL131" i="5" s="1"/>
  <c r="AL132" i="5" s="1"/>
  <c r="AL133" i="5" s="1"/>
  <c r="AL134" i="5" s="1"/>
  <c r="AL135" i="5" s="1"/>
  <c r="AL136" i="5" s="1"/>
  <c r="AL137" i="5" s="1"/>
  <c r="AL138" i="5" s="1"/>
  <c r="AL139" i="5" s="1"/>
  <c r="AL140" i="5" s="1"/>
  <c r="AL141" i="5" s="1"/>
  <c r="AL142" i="5" s="1"/>
  <c r="AL143" i="5" s="1"/>
  <c r="AL144" i="5" s="1"/>
  <c r="AL145" i="5" s="1"/>
  <c r="AL146" i="5" s="1"/>
  <c r="AL147" i="5" s="1"/>
  <c r="AL148" i="5" s="1"/>
  <c r="AL149" i="5" s="1"/>
  <c r="AL150" i="5" s="1"/>
  <c r="AL151" i="5" s="1"/>
  <c r="AL152" i="5" s="1"/>
  <c r="AL153" i="5" s="1"/>
  <c r="AL154" i="5" s="1"/>
  <c r="AL155" i="5" s="1"/>
  <c r="AL156" i="5" s="1"/>
  <c r="AL157" i="5" s="1"/>
  <c r="AL158" i="5" s="1"/>
  <c r="AL159" i="5" s="1"/>
  <c r="AL160" i="5" s="1"/>
  <c r="AL161" i="5" s="1"/>
  <c r="AL162" i="5" s="1"/>
  <c r="AL163" i="5" s="1"/>
  <c r="AL164" i="5" s="1"/>
  <c r="AL165" i="5" s="1"/>
  <c r="AL166" i="5" s="1"/>
  <c r="AL167" i="5" s="1"/>
  <c r="AL168" i="5" s="1"/>
  <c r="AL169" i="5" s="1"/>
  <c r="AL170" i="5" s="1"/>
  <c r="AL171" i="5" s="1"/>
  <c r="AL172" i="5" s="1"/>
  <c r="AL173" i="5" s="1"/>
  <c r="AL174" i="5" s="1"/>
  <c r="AL175" i="5" s="1"/>
  <c r="AL176" i="5" s="1"/>
  <c r="AL177" i="5" s="1"/>
  <c r="AL178" i="5" s="1"/>
  <c r="AL179" i="5" s="1"/>
  <c r="AL180" i="5" s="1"/>
  <c r="AL181" i="5" s="1"/>
  <c r="AL182" i="5" s="1"/>
  <c r="AL183" i="5" s="1"/>
  <c r="AL184" i="5" s="1"/>
  <c r="AL185" i="5" s="1"/>
  <c r="AL186" i="5" s="1"/>
  <c r="AL187" i="5" s="1"/>
  <c r="AL188" i="5" s="1"/>
  <c r="AL189" i="5" s="1"/>
  <c r="AL190" i="5" s="1"/>
  <c r="AL191" i="5" s="1"/>
  <c r="AL192" i="5" s="1"/>
  <c r="AL193" i="5" s="1"/>
  <c r="AL194" i="5" s="1"/>
  <c r="AL195" i="5" s="1"/>
  <c r="AL196" i="5" s="1"/>
  <c r="AL197" i="5" s="1"/>
  <c r="AL198" i="5" s="1"/>
  <c r="AL199" i="5" s="1"/>
  <c r="AL200" i="5" s="1"/>
  <c r="AL201" i="5" s="1"/>
  <c r="AL202" i="5" s="1"/>
  <c r="AL203" i="5" s="1"/>
  <c r="AL204" i="5" s="1"/>
  <c r="AO5" i="5"/>
  <c r="AO6" i="5" s="1"/>
  <c r="AO7" i="5" s="1"/>
  <c r="AO8" i="5" s="1"/>
  <c r="AO9" i="5" s="1"/>
  <c r="AO10" i="5" s="1"/>
  <c r="AO11" i="5" s="1"/>
  <c r="AO12" i="5" s="1"/>
  <c r="AO13" i="5" s="1"/>
  <c r="AO14" i="5" s="1"/>
  <c r="AO15" i="5" s="1"/>
  <c r="AO16" i="5" s="1"/>
  <c r="AO17" i="5" s="1"/>
  <c r="AO18" i="5" s="1"/>
  <c r="AO19" i="5" s="1"/>
  <c r="AO20" i="5" s="1"/>
  <c r="AO21" i="5" s="1"/>
  <c r="AO22" i="5" s="1"/>
  <c r="AO23" i="5" s="1"/>
  <c r="AO24" i="5" s="1"/>
  <c r="AO25" i="5" s="1"/>
  <c r="AO26" i="5" s="1"/>
  <c r="AO27" i="5" s="1"/>
  <c r="AO28" i="5" s="1"/>
  <c r="AO29" i="5" s="1"/>
  <c r="AO30" i="5" s="1"/>
  <c r="AO31" i="5" s="1"/>
  <c r="AO32" i="5" s="1"/>
  <c r="AO33" i="5" s="1"/>
  <c r="AO34" i="5" s="1"/>
  <c r="AO35" i="5" s="1"/>
  <c r="AO36" i="5" s="1"/>
  <c r="AO37" i="5" s="1"/>
  <c r="AO38" i="5" s="1"/>
  <c r="AO39" i="5" s="1"/>
  <c r="AO40" i="5" s="1"/>
  <c r="AO41" i="5" s="1"/>
  <c r="AO42" i="5" s="1"/>
  <c r="AO43" i="5" s="1"/>
  <c r="AO44" i="5" s="1"/>
  <c r="AO45" i="5" s="1"/>
  <c r="AO46" i="5" s="1"/>
  <c r="AO47" i="5" s="1"/>
  <c r="AO48" i="5" s="1"/>
  <c r="AO49" i="5" s="1"/>
  <c r="AO50" i="5" s="1"/>
  <c r="AO51" i="5" s="1"/>
  <c r="AO52" i="5" s="1"/>
  <c r="AO53" i="5" s="1"/>
  <c r="AO54" i="5" s="1"/>
  <c r="AO55" i="5" s="1"/>
  <c r="AO56" i="5" s="1"/>
  <c r="AO57" i="5" s="1"/>
  <c r="AO58" i="5" s="1"/>
  <c r="AO59" i="5" s="1"/>
  <c r="AO60" i="5" s="1"/>
  <c r="AO61" i="5" s="1"/>
  <c r="AO62" i="5" s="1"/>
  <c r="AO63" i="5" s="1"/>
  <c r="AO64" i="5" s="1"/>
  <c r="AO65" i="5" s="1"/>
  <c r="AO66" i="5" s="1"/>
  <c r="AO67" i="5" s="1"/>
  <c r="AO68" i="5" s="1"/>
  <c r="AO69" i="5" s="1"/>
  <c r="AO70" i="5" s="1"/>
  <c r="AO71" i="5" s="1"/>
  <c r="AO72" i="5" s="1"/>
  <c r="AO73" i="5" s="1"/>
  <c r="AO74" i="5" s="1"/>
  <c r="AO75" i="5" s="1"/>
  <c r="AO76" i="5" s="1"/>
  <c r="AO77" i="5" s="1"/>
  <c r="AO78" i="5" s="1"/>
  <c r="AO79" i="5" s="1"/>
  <c r="AO80" i="5" s="1"/>
  <c r="AO81" i="5" s="1"/>
  <c r="AO82" i="5" s="1"/>
  <c r="AO83" i="5" s="1"/>
  <c r="AO84" i="5" s="1"/>
  <c r="AO85" i="5" s="1"/>
  <c r="AO86" i="5" s="1"/>
  <c r="AO87" i="5" s="1"/>
  <c r="AO88" i="5" s="1"/>
  <c r="AO89" i="5" s="1"/>
  <c r="AO90" i="5" s="1"/>
  <c r="AO91" i="5" s="1"/>
  <c r="AO92" i="5" s="1"/>
  <c r="AO93" i="5" s="1"/>
  <c r="AO94" i="5" s="1"/>
  <c r="AO95" i="5" s="1"/>
  <c r="AO96" i="5" s="1"/>
  <c r="AO97" i="5" s="1"/>
  <c r="AO98" i="5" s="1"/>
  <c r="AO99" i="5" s="1"/>
  <c r="AO100" i="5" s="1"/>
  <c r="AO101" i="5" s="1"/>
  <c r="AO102" i="5" s="1"/>
  <c r="AO103" i="5" s="1"/>
  <c r="AO104" i="5" s="1"/>
  <c r="AO105" i="5" s="1"/>
  <c r="AO106" i="5" s="1"/>
  <c r="AO107" i="5" s="1"/>
  <c r="AO108" i="5" s="1"/>
  <c r="AO109" i="5" s="1"/>
  <c r="AO110" i="5" s="1"/>
  <c r="AO111" i="5" s="1"/>
  <c r="AO112" i="5" s="1"/>
  <c r="AO113" i="5" s="1"/>
  <c r="AO114" i="5" s="1"/>
  <c r="AO115" i="5" s="1"/>
  <c r="AO116" i="5" s="1"/>
  <c r="AO117" i="5" s="1"/>
  <c r="AO118" i="5" s="1"/>
  <c r="AO119" i="5" s="1"/>
  <c r="AO120" i="5" s="1"/>
  <c r="AO121" i="5" s="1"/>
  <c r="AO122" i="5" s="1"/>
  <c r="AO123" i="5" s="1"/>
  <c r="AO124" i="5" s="1"/>
  <c r="AO125" i="5" s="1"/>
  <c r="AO126" i="5" s="1"/>
  <c r="AO127" i="5" s="1"/>
  <c r="AO128" i="5" s="1"/>
  <c r="AO129" i="5" s="1"/>
  <c r="AO130" i="5" s="1"/>
  <c r="AO131" i="5" s="1"/>
  <c r="AO132" i="5" s="1"/>
  <c r="AO133" i="5" s="1"/>
  <c r="AO134" i="5" s="1"/>
  <c r="AO135" i="5" s="1"/>
  <c r="AO136" i="5" s="1"/>
  <c r="AO137" i="5" s="1"/>
  <c r="AO138" i="5" s="1"/>
  <c r="AO139" i="5" s="1"/>
  <c r="AO140" i="5" s="1"/>
  <c r="AO141" i="5" s="1"/>
  <c r="AO142" i="5" s="1"/>
  <c r="AO143" i="5" s="1"/>
  <c r="AO144" i="5" s="1"/>
  <c r="AO145" i="5" s="1"/>
  <c r="AO146" i="5" s="1"/>
  <c r="AO147" i="5" s="1"/>
  <c r="AO148" i="5" s="1"/>
  <c r="AO149" i="5" s="1"/>
  <c r="AO150" i="5" s="1"/>
  <c r="AO151" i="5" s="1"/>
  <c r="AO152" i="5" s="1"/>
  <c r="AO153" i="5" s="1"/>
  <c r="AO154" i="5" s="1"/>
  <c r="AO155" i="5" s="1"/>
  <c r="AO156" i="5" s="1"/>
  <c r="AO157" i="5" s="1"/>
  <c r="AO158" i="5" s="1"/>
  <c r="AO159" i="5" s="1"/>
  <c r="AO160" i="5" s="1"/>
  <c r="AO161" i="5" s="1"/>
  <c r="AO162" i="5" s="1"/>
  <c r="AO163" i="5" s="1"/>
  <c r="AO164" i="5" s="1"/>
  <c r="AO165" i="5" s="1"/>
  <c r="AO166" i="5" s="1"/>
  <c r="AO167" i="5" s="1"/>
  <c r="AO168" i="5" s="1"/>
  <c r="AO169" i="5" s="1"/>
  <c r="AO170" i="5" s="1"/>
  <c r="AO171" i="5" s="1"/>
  <c r="AO172" i="5" s="1"/>
  <c r="AO173" i="5" s="1"/>
  <c r="AO174" i="5" s="1"/>
  <c r="AO175" i="5" s="1"/>
  <c r="AO176" i="5" s="1"/>
  <c r="AO177" i="5" s="1"/>
  <c r="AO178" i="5" s="1"/>
  <c r="AO179" i="5" s="1"/>
  <c r="AO180" i="5" s="1"/>
  <c r="AO181" i="5" s="1"/>
  <c r="AO182" i="5" s="1"/>
  <c r="AO183" i="5" s="1"/>
  <c r="AO184" i="5" s="1"/>
  <c r="AO185" i="5" s="1"/>
  <c r="AO186" i="5" s="1"/>
  <c r="AO187" i="5" s="1"/>
  <c r="AO188" i="5" s="1"/>
  <c r="AO189" i="5" s="1"/>
  <c r="AO190" i="5" s="1"/>
  <c r="AO191" i="5" s="1"/>
  <c r="AO192" i="5" s="1"/>
  <c r="AO193" i="5" s="1"/>
  <c r="AO194" i="5" s="1"/>
  <c r="AO195" i="5" s="1"/>
  <c r="AO196" i="5" s="1"/>
  <c r="AO197" i="5" s="1"/>
  <c r="AO198" i="5" s="1"/>
  <c r="AO199" i="5" s="1"/>
  <c r="AO200" i="5" s="1"/>
  <c r="AO201" i="5" s="1"/>
  <c r="AO202" i="5" s="1"/>
  <c r="AO203" i="5" s="1"/>
  <c r="AO204" i="5" s="1"/>
  <c r="AW10" i="5"/>
  <c r="V91" i="5"/>
  <c r="AW16" i="5"/>
  <c r="AW13" i="5"/>
  <c r="R98" i="5"/>
  <c r="R99" i="5" s="1"/>
  <c r="AW6" i="5"/>
  <c r="AQ205" i="5"/>
  <c r="BJ7" i="5"/>
  <c r="BE8" i="5"/>
  <c r="BD7" i="5"/>
  <c r="BF7" i="5" s="1"/>
  <c r="BG7" i="5" s="1"/>
  <c r="P20" i="5" l="1"/>
  <c r="P36" i="1" s="1"/>
  <c r="R29" i="5"/>
  <c r="T81" i="5"/>
  <c r="P34" i="1"/>
  <c r="T75" i="5"/>
  <c r="T68" i="5"/>
  <c r="T76" i="5"/>
  <c r="T70" i="5"/>
  <c r="T73" i="5"/>
  <c r="T69" i="5"/>
  <c r="T78" i="5"/>
  <c r="T80" i="5"/>
  <c r="T67" i="5"/>
  <c r="T64" i="5"/>
  <c r="R64" i="5" s="1"/>
  <c r="U64" i="5" s="1"/>
  <c r="T82" i="5"/>
  <c r="T66" i="5"/>
  <c r="T65" i="5"/>
  <c r="Q65" i="5" s="1"/>
  <c r="T83" i="5"/>
  <c r="T72" i="5"/>
  <c r="T79" i="5"/>
  <c r="T74" i="5"/>
  <c r="T77" i="5"/>
  <c r="T71" i="5"/>
  <c r="P33" i="5"/>
  <c r="P30" i="5"/>
  <c r="P44" i="1" s="1"/>
  <c r="R97" i="5"/>
  <c r="S97" i="5" s="1"/>
  <c r="S98" i="5"/>
  <c r="S99" i="5"/>
  <c r="R100" i="5"/>
  <c r="BD8" i="5"/>
  <c r="BF8" i="5" s="1"/>
  <c r="BG8" i="5" s="1"/>
  <c r="BE9" i="5"/>
  <c r="BJ8" i="5"/>
  <c r="S64" i="5" l="1"/>
  <c r="Q66" i="5"/>
  <c r="Q67" i="5" s="1"/>
  <c r="R65" i="5"/>
  <c r="U65" i="5" s="1"/>
  <c r="P49" i="1"/>
  <c r="P47" i="1"/>
  <c r="R96" i="5"/>
  <c r="S96" i="5" s="1"/>
  <c r="P35" i="5"/>
  <c r="W64" i="5"/>
  <c r="X64" i="5" s="1"/>
  <c r="Y64" i="5" s="1"/>
  <c r="V64" i="5"/>
  <c r="R101" i="5"/>
  <c r="S100" i="5"/>
  <c r="BD9" i="5"/>
  <c r="BF9" i="5" s="1"/>
  <c r="BG9" i="5" s="1"/>
  <c r="BE10" i="5"/>
  <c r="BJ9" i="5"/>
  <c r="R66" i="5" l="1"/>
  <c r="S66" i="5" s="1"/>
  <c r="S65" i="5"/>
  <c r="R95" i="5"/>
  <c r="R94" i="5" s="1"/>
  <c r="V65" i="5"/>
  <c r="W65" i="5"/>
  <c r="X65" i="5" s="1"/>
  <c r="Y65" i="5" s="1"/>
  <c r="S101" i="5"/>
  <c r="R102" i="5"/>
  <c r="R67" i="5"/>
  <c r="Q68" i="5"/>
  <c r="BD10" i="5"/>
  <c r="BF10" i="5" s="1"/>
  <c r="BG10" i="5" s="1"/>
  <c r="BJ10" i="5"/>
  <c r="BE11" i="5"/>
  <c r="U66" i="5" l="1"/>
  <c r="W66" i="5" s="1"/>
  <c r="X66" i="5" s="1"/>
  <c r="Y66" i="5" s="1"/>
  <c r="S95" i="5"/>
  <c r="S94" i="5"/>
  <c r="R93" i="5"/>
  <c r="R68" i="5"/>
  <c r="Q69" i="5"/>
  <c r="R103" i="5"/>
  <c r="S102" i="5"/>
  <c r="S67" i="5"/>
  <c r="U67" i="5"/>
  <c r="BD11" i="5"/>
  <c r="BF11" i="5" s="1"/>
  <c r="BG11" i="5" s="1"/>
  <c r="BJ11" i="5"/>
  <c r="BE12" i="5"/>
  <c r="V66" i="5" l="1"/>
  <c r="S68" i="5"/>
  <c r="U68" i="5"/>
  <c r="V67" i="5"/>
  <c r="W67" i="5"/>
  <c r="X67" i="5" s="1"/>
  <c r="Y67" i="5" s="1"/>
  <c r="S93" i="5"/>
  <c r="R92" i="5"/>
  <c r="Q70" i="5"/>
  <c r="R69" i="5"/>
  <c r="R104" i="5"/>
  <c r="S103" i="5"/>
  <c r="BJ12" i="5"/>
  <c r="BD12" i="5"/>
  <c r="BF12" i="5" s="1"/>
  <c r="BG12" i="5" s="1"/>
  <c r="BE13" i="5"/>
  <c r="S104" i="5" l="1"/>
  <c r="R105" i="5"/>
  <c r="S92" i="5"/>
  <c r="R91" i="5"/>
  <c r="V68" i="5"/>
  <c r="W68" i="5"/>
  <c r="X68" i="5" s="1"/>
  <c r="Y68" i="5" s="1"/>
  <c r="S69" i="5"/>
  <c r="U69" i="5"/>
  <c r="R70" i="5"/>
  <c r="Q71" i="5"/>
  <c r="BE14" i="5"/>
  <c r="BJ13" i="5"/>
  <c r="BD13" i="5"/>
  <c r="BF13" i="5" s="1"/>
  <c r="BG13" i="5" s="1"/>
  <c r="R71" i="5" l="1"/>
  <c r="Q72" i="5"/>
  <c r="R90" i="5"/>
  <c r="S91" i="5"/>
  <c r="S70" i="5"/>
  <c r="U70" i="5"/>
  <c r="V69" i="5"/>
  <c r="W69" i="5"/>
  <c r="X69" i="5" s="1"/>
  <c r="Y69" i="5" s="1"/>
  <c r="R106" i="5"/>
  <c r="S105" i="5"/>
  <c r="BJ14" i="5"/>
  <c r="BE15" i="5"/>
  <c r="BD14" i="5"/>
  <c r="BF14" i="5" s="1"/>
  <c r="BG14" i="5" s="1"/>
  <c r="S106" i="5" l="1"/>
  <c r="R107" i="5"/>
  <c r="R89" i="5"/>
  <c r="S90" i="5"/>
  <c r="W70" i="5"/>
  <c r="X70" i="5" s="1"/>
  <c r="Y70" i="5" s="1"/>
  <c r="V70" i="5"/>
  <c r="Q73" i="5"/>
  <c r="R72" i="5"/>
  <c r="U71" i="5"/>
  <c r="S71" i="5"/>
  <c r="BE16" i="5"/>
  <c r="BJ15" i="5"/>
  <c r="BD15" i="5"/>
  <c r="BF15" i="5" s="1"/>
  <c r="BG15" i="5" s="1"/>
  <c r="W71" i="5" l="1"/>
  <c r="X71" i="5" s="1"/>
  <c r="Y71" i="5" s="1"/>
  <c r="V71" i="5"/>
  <c r="R88" i="5"/>
  <c r="S89" i="5"/>
  <c r="S72" i="5"/>
  <c r="U72" i="5"/>
  <c r="R108" i="5"/>
  <c r="S107" i="5"/>
  <c r="R73" i="5"/>
  <c r="Q74" i="5"/>
  <c r="BE17" i="5"/>
  <c r="BJ16" i="5"/>
  <c r="BD16" i="5"/>
  <c r="BF16" i="5" s="1"/>
  <c r="BG16" i="5" s="1"/>
  <c r="Q75" i="5" l="1"/>
  <c r="R74" i="5"/>
  <c r="S73" i="5"/>
  <c r="U73" i="5"/>
  <c r="R87" i="5"/>
  <c r="S87" i="5" s="1"/>
  <c r="S88" i="5"/>
  <c r="W72" i="5"/>
  <c r="X72" i="5" s="1"/>
  <c r="Y72" i="5" s="1"/>
  <c r="V72" i="5"/>
  <c r="S108" i="5"/>
  <c r="R109" i="5"/>
  <c r="S109" i="5" s="1"/>
  <c r="BE18" i="5"/>
  <c r="BJ17" i="5"/>
  <c r="BD17" i="5"/>
  <c r="BF17" i="5" s="1"/>
  <c r="BG17" i="5" s="1"/>
  <c r="W73" i="5" l="1"/>
  <c r="X73" i="5" s="1"/>
  <c r="Y73" i="5" s="1"/>
  <c r="V73" i="5"/>
  <c r="S74" i="5"/>
  <c r="U74" i="5"/>
  <c r="Q76" i="5"/>
  <c r="R75" i="5"/>
  <c r="BJ18" i="5"/>
  <c r="BD18" i="5"/>
  <c r="BF18" i="5" s="1"/>
  <c r="BG18" i="5" s="1"/>
  <c r="BE19" i="5"/>
  <c r="Q77" i="5" l="1"/>
  <c r="R76" i="5"/>
  <c r="V74" i="5"/>
  <c r="W74" i="5"/>
  <c r="X74" i="5" s="1"/>
  <c r="Y74" i="5" s="1"/>
  <c r="U75" i="5"/>
  <c r="S75" i="5"/>
  <c r="BJ19" i="5"/>
  <c r="BD19" i="5"/>
  <c r="BF19" i="5" s="1"/>
  <c r="BG19" i="5" s="1"/>
  <c r="BE20" i="5"/>
  <c r="W75" i="5" l="1"/>
  <c r="X75" i="5" s="1"/>
  <c r="Y75" i="5" s="1"/>
  <c r="V75" i="5"/>
  <c r="S76" i="5"/>
  <c r="U76" i="5"/>
  <c r="Q78" i="5"/>
  <c r="R77" i="5"/>
  <c r="BJ20" i="5"/>
  <c r="BE21" i="5"/>
  <c r="BD20" i="5"/>
  <c r="BF20" i="5" s="1"/>
  <c r="BG20" i="5" s="1"/>
  <c r="R78" i="5" l="1"/>
  <c r="Q79" i="5"/>
  <c r="W76" i="5"/>
  <c r="X76" i="5" s="1"/>
  <c r="Y76" i="5" s="1"/>
  <c r="V76" i="5"/>
  <c r="S77" i="5"/>
  <c r="U77" i="5"/>
  <c r="BJ21" i="5"/>
  <c r="BE22" i="5"/>
  <c r="BD21" i="5"/>
  <c r="BF21" i="5" s="1"/>
  <c r="BG21" i="5" s="1"/>
  <c r="W77" i="5" l="1"/>
  <c r="X77" i="5" s="1"/>
  <c r="Y77" i="5" s="1"/>
  <c r="V77" i="5"/>
  <c r="Q80" i="5"/>
  <c r="R79" i="5"/>
  <c r="U78" i="5"/>
  <c r="S78" i="5"/>
  <c r="BJ22" i="5"/>
  <c r="BE23" i="5"/>
  <c r="BE24" i="5" s="1"/>
  <c r="BD22" i="5"/>
  <c r="BF22" i="5" s="1"/>
  <c r="BG22" i="5" s="1"/>
  <c r="BD24" i="5" l="1"/>
  <c r="BF24" i="5" s="1"/>
  <c r="BG24" i="5" s="1"/>
  <c r="BE25" i="5"/>
  <c r="BJ24" i="5"/>
  <c r="V78" i="5"/>
  <c r="W78" i="5"/>
  <c r="X78" i="5" s="1"/>
  <c r="Y78" i="5" s="1"/>
  <c r="S79" i="5"/>
  <c r="U79" i="5"/>
  <c r="R80" i="5"/>
  <c r="Q81" i="5"/>
  <c r="BD23" i="5"/>
  <c r="BF23" i="5" s="1"/>
  <c r="BG23" i="5" s="1"/>
  <c r="BJ23" i="5"/>
  <c r="BD25" i="5" l="1"/>
  <c r="BF25" i="5" s="1"/>
  <c r="BG25" i="5" s="1"/>
  <c r="BJ25" i="5"/>
  <c r="BE26" i="5"/>
  <c r="V79" i="5"/>
  <c r="W79" i="5"/>
  <c r="X79" i="5" s="1"/>
  <c r="Y79" i="5" s="1"/>
  <c r="R81" i="5"/>
  <c r="Q82" i="5"/>
  <c r="S80" i="5"/>
  <c r="U80" i="5"/>
  <c r="BJ26" i="5" l="1"/>
  <c r="BE27" i="5"/>
  <c r="BD26" i="5"/>
  <c r="BF26" i="5" s="1"/>
  <c r="BG26" i="5" s="1"/>
  <c r="W80" i="5"/>
  <c r="X80" i="5" s="1"/>
  <c r="Y80" i="5" s="1"/>
  <c r="V80" i="5"/>
  <c r="R82" i="5"/>
  <c r="Q83" i="5"/>
  <c r="R83" i="5" s="1"/>
  <c r="S81" i="5"/>
  <c r="U81" i="5"/>
  <c r="BJ27" i="5" l="1"/>
  <c r="BD27" i="5"/>
  <c r="BF27" i="5" s="1"/>
  <c r="BG27" i="5" s="1"/>
  <c r="BE28" i="5"/>
  <c r="U83" i="5"/>
  <c r="S83" i="5"/>
  <c r="U82" i="5"/>
  <c r="S82" i="5"/>
  <c r="V81" i="5"/>
  <c r="W81" i="5"/>
  <c r="X81" i="5" s="1"/>
  <c r="Y81" i="5" s="1"/>
  <c r="BJ28" i="5" l="1"/>
  <c r="BD28" i="5"/>
  <c r="BF28" i="5" s="1"/>
  <c r="BG28" i="5" s="1"/>
  <c r="BE29" i="5"/>
  <c r="V82" i="5"/>
  <c r="W82" i="5"/>
  <c r="X82" i="5" s="1"/>
  <c r="Y82" i="5" s="1"/>
  <c r="V83" i="5"/>
  <c r="W83" i="5"/>
  <c r="X83" i="5" s="1"/>
  <c r="Y83" i="5" s="1"/>
  <c r="W91" i="5" l="1"/>
  <c r="BJ29" i="5"/>
  <c r="BD29" i="5"/>
  <c r="BF29" i="5" s="1"/>
  <c r="BG29" i="5" s="1"/>
  <c r="BE30" i="5"/>
  <c r="W88" i="5"/>
  <c r="W92" i="5"/>
  <c r="W90" i="5"/>
  <c r="W89" i="5"/>
  <c r="W87" i="5"/>
  <c r="BE31" i="5" l="1"/>
  <c r="BJ30" i="5"/>
  <c r="BD30" i="5"/>
  <c r="BF30" i="5" s="1"/>
  <c r="BG30" i="5" s="1"/>
  <c r="BE32" i="5" l="1"/>
  <c r="BD31" i="5"/>
  <c r="BF31" i="5" s="1"/>
  <c r="BG31" i="5" s="1"/>
  <c r="BJ31" i="5"/>
  <c r="BE33" i="5" l="1"/>
  <c r="BJ32" i="5"/>
  <c r="BD32" i="5"/>
  <c r="BF32" i="5" s="1"/>
  <c r="BG32" i="5" s="1"/>
  <c r="BD33" i="5" l="1"/>
  <c r="BF33" i="5" s="1"/>
  <c r="BG33" i="5" s="1"/>
  <c r="BJ33" i="5"/>
  <c r="BE34" i="5"/>
  <c r="BE35" i="5" l="1"/>
  <c r="BD34" i="5"/>
  <c r="BF34" i="5" s="1"/>
  <c r="BG34" i="5" s="1"/>
  <c r="BJ34" i="5"/>
  <c r="BE36" i="5" l="1"/>
  <c r="BJ35" i="5"/>
  <c r="BD35" i="5"/>
  <c r="BF35" i="5" s="1"/>
  <c r="BG35" i="5" s="1"/>
  <c r="BE37" i="5" l="1"/>
  <c r="BJ36" i="5"/>
  <c r="BD36" i="5"/>
  <c r="BF36" i="5" s="1"/>
  <c r="BG36" i="5" s="1"/>
  <c r="BE38" i="5" l="1"/>
  <c r="BD37" i="5"/>
  <c r="BF37" i="5" s="1"/>
  <c r="BG37" i="5" s="1"/>
  <c r="BJ37" i="5"/>
  <c r="BJ38" i="5" l="1"/>
  <c r="BD38" i="5"/>
  <c r="BF38" i="5" s="1"/>
  <c r="BG38" i="5" s="1"/>
  <c r="BE39" i="5"/>
  <c r="BE40" i="5" l="1"/>
  <c r="BD39" i="5"/>
  <c r="BF39" i="5" s="1"/>
  <c r="BG39" i="5" s="1"/>
  <c r="BJ39" i="5"/>
  <c r="BD40" i="5" l="1"/>
  <c r="BF40" i="5" s="1"/>
  <c r="BG40" i="5" s="1"/>
  <c r="BE41" i="5"/>
  <c r="BJ40" i="5"/>
  <c r="BE42" i="5" l="1"/>
  <c r="BD41" i="5"/>
  <c r="BF41" i="5" s="1"/>
  <c r="BG41" i="5" s="1"/>
  <c r="BJ41" i="5"/>
  <c r="BE43" i="5" l="1"/>
  <c r="BJ42" i="5"/>
  <c r="BD42" i="5"/>
  <c r="BF42" i="5" s="1"/>
  <c r="BG42" i="5" s="1"/>
  <c r="BE44" i="5" l="1"/>
  <c r="BE45" i="5" s="1"/>
  <c r="BJ43" i="5"/>
  <c r="BD43" i="5"/>
  <c r="BF43" i="5" s="1"/>
  <c r="BG43" i="5" s="1"/>
  <c r="BJ45" i="5" l="1"/>
  <c r="BE46" i="5"/>
  <c r="BD45" i="5"/>
  <c r="BF45" i="5" s="1"/>
  <c r="BG45" i="5" s="1"/>
  <c r="BJ44" i="5"/>
  <c r="BD44" i="5"/>
  <c r="BF44" i="5" s="1"/>
  <c r="BG44" i="5" s="1"/>
  <c r="BD46" i="5" l="1"/>
  <c r="BF46" i="5" s="1"/>
  <c r="BG46" i="5" s="1"/>
  <c r="BJ46" i="5"/>
  <c r="BE47" i="5"/>
  <c r="BJ47" i="5" l="1"/>
  <c r="BE48" i="5"/>
  <c r="BD47" i="5"/>
  <c r="BF47" i="5" s="1"/>
  <c r="BG47" i="5" s="1"/>
  <c r="BE49" i="5" l="1"/>
  <c r="BJ48" i="5"/>
  <c r="BD48" i="5"/>
  <c r="BF48" i="5" s="1"/>
  <c r="BG48" i="5" s="1"/>
  <c r="BJ49" i="5" l="1"/>
  <c r="BE50" i="5"/>
  <c r="BD49" i="5"/>
  <c r="BF49" i="5" s="1"/>
  <c r="BG49" i="5" s="1"/>
  <c r="BE51" i="5" l="1"/>
  <c r="BD50" i="5"/>
  <c r="BF50" i="5" s="1"/>
  <c r="BG50" i="5" s="1"/>
  <c r="BJ50" i="5"/>
  <c r="BE52" i="5" l="1"/>
  <c r="BD51" i="5"/>
  <c r="BF51" i="5" s="1"/>
  <c r="BG51" i="5" s="1"/>
  <c r="BJ51" i="5"/>
  <c r="BJ52" i="5" l="1"/>
  <c r="BE53" i="5"/>
  <c r="BD52" i="5"/>
  <c r="BF52" i="5" s="1"/>
  <c r="BG52" i="5" s="1"/>
  <c r="BJ53" i="5" l="1"/>
  <c r="BD53" i="5"/>
  <c r="BF53" i="5" s="1"/>
  <c r="BG53" i="5" s="1"/>
  <c r="BE54" i="5"/>
  <c r="BE55" i="5" s="1"/>
  <c r="BE56" i="5" l="1"/>
  <c r="BD55" i="5"/>
  <c r="BF55" i="5" s="1"/>
  <c r="BG55" i="5" s="1"/>
  <c r="BJ55" i="5"/>
  <c r="BJ54" i="5"/>
  <c r="BD54" i="5"/>
  <c r="BF54" i="5" s="1"/>
  <c r="BG54" i="5" s="1"/>
  <c r="BE57" i="5" l="1"/>
  <c r="BJ56" i="5"/>
  <c r="BD56" i="5"/>
  <c r="BF56" i="5" s="1"/>
  <c r="BG56" i="5" s="1"/>
  <c r="BE58" i="5" l="1"/>
  <c r="BJ57" i="5"/>
  <c r="BD57" i="5"/>
  <c r="BF57" i="5" s="1"/>
  <c r="BG57" i="5" s="1"/>
  <c r="BJ58" i="5" l="1"/>
  <c r="BD58" i="5"/>
  <c r="BF58" i="5" s="1"/>
  <c r="BG58" i="5" s="1"/>
  <c r="BE59" i="5"/>
  <c r="BE60" i="5" l="1"/>
  <c r="BJ59" i="5"/>
  <c r="BD59" i="5"/>
  <c r="BF59" i="5" s="1"/>
  <c r="BG59" i="5" s="1"/>
  <c r="BD60" i="5" l="1"/>
  <c r="BF60" i="5" s="1"/>
  <c r="BG60" i="5" s="1"/>
  <c r="BJ60" i="5"/>
  <c r="BE61" i="5"/>
  <c r="BJ61" i="5" l="1"/>
  <c r="BD61" i="5"/>
  <c r="BF61" i="5" s="1"/>
  <c r="BG61" i="5" s="1"/>
  <c r="BE62" i="5"/>
  <c r="BD62" i="5" l="1"/>
  <c r="BF62" i="5" s="1"/>
  <c r="BG62" i="5" s="1"/>
  <c r="BJ62" i="5"/>
  <c r="BE63" i="5"/>
  <c r="BJ63" i="5" l="1"/>
  <c r="BE64" i="5"/>
  <c r="BD63" i="5"/>
  <c r="BF63" i="5" s="1"/>
  <c r="BG63" i="5" s="1"/>
  <c r="BE65" i="5" l="1"/>
  <c r="BD64" i="5"/>
  <c r="BF64" i="5" s="1"/>
  <c r="BG64" i="5" s="1"/>
  <c r="BJ64" i="5"/>
  <c r="BJ65" i="5" l="1"/>
  <c r="BD65" i="5"/>
  <c r="BF65" i="5" s="1"/>
  <c r="BG65" i="5" s="1"/>
  <c r="BE66" i="5"/>
  <c r="BJ66" i="5" l="1"/>
  <c r="BD66" i="5"/>
  <c r="BF66" i="5" s="1"/>
  <c r="BG66" i="5" s="1"/>
  <c r="BE67" i="5"/>
  <c r="BE68" i="5" l="1"/>
  <c r="BD67" i="5"/>
  <c r="BF67" i="5" s="1"/>
  <c r="BG67" i="5" s="1"/>
  <c r="BJ67" i="5"/>
  <c r="BJ68" i="5" l="1"/>
  <c r="BE69" i="5"/>
  <c r="BD68" i="5"/>
  <c r="BF68" i="5" s="1"/>
  <c r="BG68" i="5" s="1"/>
  <c r="BJ69" i="5" l="1"/>
  <c r="BD69" i="5"/>
  <c r="BF69" i="5" s="1"/>
  <c r="BG69" i="5" s="1"/>
  <c r="BE70" i="5"/>
  <c r="BE71" i="5" l="1"/>
  <c r="BD70" i="5"/>
  <c r="BF70" i="5" s="1"/>
  <c r="BG70" i="5" s="1"/>
  <c r="BJ70" i="5"/>
  <c r="BJ71" i="5" l="1"/>
  <c r="BE72" i="5"/>
  <c r="BD71" i="5"/>
  <c r="BF71" i="5" s="1"/>
  <c r="BG71" i="5" s="1"/>
  <c r="BD72" i="5" l="1"/>
  <c r="BF72" i="5" s="1"/>
  <c r="BG72" i="5" s="1"/>
  <c r="BJ72" i="5"/>
  <c r="BE73" i="5"/>
  <c r="BE74" i="5" l="1"/>
  <c r="BD73" i="5"/>
  <c r="BF73" i="5" s="1"/>
  <c r="BG73" i="5" s="1"/>
  <c r="BJ73" i="5"/>
  <c r="BD74" i="5" l="1"/>
  <c r="BF74" i="5" s="1"/>
  <c r="BG74" i="5" s="1"/>
  <c r="BJ74" i="5"/>
  <c r="BE75" i="5"/>
  <c r="BE76" i="5" l="1"/>
  <c r="BD75" i="5"/>
  <c r="BF75" i="5" s="1"/>
  <c r="BG75" i="5" s="1"/>
  <c r="BJ75" i="5"/>
  <c r="BJ76" i="5" l="1"/>
  <c r="BD76" i="5"/>
  <c r="BF76" i="5" s="1"/>
  <c r="BG76" i="5" s="1"/>
  <c r="BE77" i="5"/>
  <c r="BE78" i="5" l="1"/>
  <c r="BD77" i="5"/>
  <c r="BF77" i="5" s="1"/>
  <c r="BG77" i="5" s="1"/>
  <c r="BJ77" i="5"/>
  <c r="BE79" i="5" l="1"/>
  <c r="BJ78" i="5"/>
  <c r="BD78" i="5"/>
  <c r="BF78" i="5" s="1"/>
  <c r="BG78" i="5" s="1"/>
  <c r="BJ79" i="5" l="1"/>
  <c r="BD79" i="5"/>
  <c r="BF79" i="5" s="1"/>
  <c r="BG79" i="5" s="1"/>
  <c r="BE80" i="5"/>
  <c r="BE81" i="5" l="1"/>
  <c r="BD80" i="5"/>
  <c r="BF80" i="5" s="1"/>
  <c r="BG80" i="5" s="1"/>
  <c r="BJ80" i="5"/>
  <c r="BE82" i="5" l="1"/>
  <c r="BD81" i="5"/>
  <c r="BF81" i="5" s="1"/>
  <c r="BG81" i="5" s="1"/>
  <c r="BJ81" i="5"/>
  <c r="BE83" i="5" l="1"/>
  <c r="BJ82" i="5"/>
  <c r="BD82" i="5"/>
  <c r="BF82" i="5" s="1"/>
  <c r="BG82" i="5" s="1"/>
  <c r="BJ83" i="5" l="1"/>
  <c r="BD83" i="5"/>
  <c r="BF83" i="5" s="1"/>
  <c r="BG83" i="5" s="1"/>
  <c r="BE84" i="5"/>
  <c r="BJ84" i="5" l="1"/>
  <c r="BE85" i="5"/>
  <c r="BD84" i="5"/>
  <c r="BF84" i="5" s="1"/>
  <c r="BG84" i="5" s="1"/>
  <c r="BD85" i="5" l="1"/>
  <c r="BF85" i="5" s="1"/>
  <c r="BG85" i="5" s="1"/>
  <c r="BJ85" i="5"/>
  <c r="BE86" i="5"/>
  <c r="BE87" i="5" l="1"/>
  <c r="BD86" i="5"/>
  <c r="BF86" i="5" s="1"/>
  <c r="BG86" i="5" s="1"/>
  <c r="BJ86" i="5"/>
  <c r="BJ87" i="5" l="1"/>
  <c r="BE88" i="5"/>
  <c r="BD87" i="5"/>
  <c r="BF87" i="5" s="1"/>
  <c r="BG87" i="5" s="1"/>
  <c r="BE89" i="5" l="1"/>
  <c r="BJ88" i="5"/>
  <c r="BD88" i="5"/>
  <c r="BF88" i="5" s="1"/>
  <c r="BG88" i="5" s="1"/>
  <c r="BD89" i="5" l="1"/>
  <c r="BF89" i="5" s="1"/>
  <c r="BG89" i="5" s="1"/>
  <c r="BE90" i="5"/>
  <c r="BJ89" i="5"/>
  <c r="BJ90" i="5" l="1"/>
  <c r="BD90" i="5"/>
  <c r="BF90" i="5" s="1"/>
  <c r="BG90" i="5" s="1"/>
  <c r="BE91" i="5"/>
  <c r="BE92" i="5" l="1"/>
  <c r="BD91" i="5"/>
  <c r="BF91" i="5" s="1"/>
  <c r="BG91" i="5" s="1"/>
  <c r="BJ91" i="5"/>
  <c r="BD92" i="5" l="1"/>
  <c r="BF92" i="5" s="1"/>
  <c r="BG92" i="5" s="1"/>
  <c r="BE93" i="5"/>
  <c r="BJ92" i="5"/>
  <c r="BD93" i="5" l="1"/>
  <c r="BF93" i="5" s="1"/>
  <c r="BG93" i="5" s="1"/>
  <c r="BE94" i="5"/>
  <c r="BJ93" i="5"/>
  <c r="BJ94" i="5" l="1"/>
  <c r="BD94" i="5"/>
  <c r="BF94" i="5" s="1"/>
  <c r="BG94" i="5" s="1"/>
  <c r="BE95" i="5"/>
  <c r="BJ95" i="5" l="1"/>
  <c r="BD95" i="5"/>
  <c r="BF95" i="5" s="1"/>
  <c r="BG95" i="5" s="1"/>
  <c r="BE96" i="5"/>
  <c r="BE97" i="5" l="1"/>
  <c r="BJ96" i="5"/>
  <c r="BD96" i="5"/>
  <c r="BF96" i="5" s="1"/>
  <c r="BG96" i="5" s="1"/>
  <c r="BD97" i="5" l="1"/>
  <c r="BF97" i="5" s="1"/>
  <c r="BG97" i="5" s="1"/>
  <c r="BE98" i="5"/>
  <c r="BJ97" i="5"/>
  <c r="BJ98" i="5" l="1"/>
  <c r="BD98" i="5"/>
  <c r="BF98" i="5" s="1"/>
  <c r="BG98" i="5" s="1"/>
  <c r="BE99" i="5"/>
  <c r="BE100" i="5" l="1"/>
  <c r="BJ99" i="5"/>
  <c r="BD99" i="5"/>
  <c r="BF99" i="5" s="1"/>
  <c r="BG99" i="5" s="1"/>
  <c r="BE101" i="5" l="1"/>
  <c r="BD100" i="5"/>
  <c r="BF100" i="5" s="1"/>
  <c r="BG100" i="5" s="1"/>
  <c r="BJ100" i="5"/>
  <c r="BD101" i="5" l="1"/>
  <c r="BF101" i="5" s="1"/>
  <c r="BG101" i="5" s="1"/>
  <c r="BE102" i="5"/>
  <c r="BJ101" i="5"/>
  <c r="BE103" i="5" l="1"/>
  <c r="BJ102" i="5"/>
  <c r="BD102" i="5"/>
  <c r="BF102" i="5" s="1"/>
  <c r="BG102" i="5" s="1"/>
  <c r="BE104" i="5" l="1"/>
  <c r="BE105" i="5" s="1"/>
  <c r="BD103" i="5"/>
  <c r="BF103" i="5" s="1"/>
  <c r="BG103" i="5" s="1"/>
  <c r="BJ103" i="5"/>
  <c r="BD105" i="5" l="1"/>
  <c r="BF105" i="5" s="1"/>
  <c r="BG105" i="5" s="1"/>
  <c r="BE106" i="5"/>
  <c r="BJ105" i="5"/>
  <c r="BD104" i="5"/>
  <c r="BF104" i="5" s="1"/>
  <c r="BG104" i="5" s="1"/>
  <c r="BJ104" i="5"/>
  <c r="BD106" i="5" l="1"/>
  <c r="BF106" i="5" s="1"/>
  <c r="BG106" i="5" s="1"/>
  <c r="BJ106" i="5"/>
  <c r="BE107" i="5"/>
  <c r="BD107" i="5" l="1"/>
  <c r="BF107" i="5" s="1"/>
  <c r="BG107" i="5" s="1"/>
  <c r="BJ107" i="5"/>
  <c r="BE108" i="5"/>
  <c r="BE109" i="5" l="1"/>
  <c r="BJ108" i="5"/>
  <c r="BD108" i="5"/>
  <c r="BF108" i="5" s="1"/>
  <c r="BG108" i="5" s="1"/>
  <c r="BE110" i="5" l="1"/>
  <c r="BD109" i="5"/>
  <c r="BF109" i="5" s="1"/>
  <c r="BG109" i="5" s="1"/>
  <c r="BJ109" i="5"/>
  <c r="BD110" i="5" l="1"/>
  <c r="BF110" i="5" s="1"/>
  <c r="BG110" i="5" s="1"/>
  <c r="BJ110" i="5"/>
  <c r="BE111" i="5"/>
  <c r="BD111" i="5" l="1"/>
  <c r="BF111" i="5" s="1"/>
  <c r="BG111" i="5" s="1"/>
  <c r="BJ111" i="5"/>
  <c r="BE112" i="5"/>
  <c r="BE113" i="5" l="1"/>
  <c r="BD112" i="5"/>
  <c r="BF112" i="5" s="1"/>
  <c r="BG112" i="5" s="1"/>
  <c r="BJ112" i="5"/>
  <c r="BD113" i="5" l="1"/>
  <c r="BF113" i="5" s="1"/>
  <c r="BG113" i="5" s="1"/>
  <c r="BE114" i="5"/>
  <c r="BJ113" i="5"/>
  <c r="BD114" i="5" l="1"/>
  <c r="BF114" i="5" s="1"/>
  <c r="BG114" i="5" s="1"/>
  <c r="BJ114" i="5"/>
  <c r="BE115" i="5"/>
  <c r="BJ115" i="5" l="1"/>
  <c r="BE116" i="5"/>
  <c r="BD115" i="5"/>
  <c r="BF115" i="5" s="1"/>
  <c r="BG115" i="5" s="1"/>
  <c r="BD116" i="5" l="1"/>
  <c r="BF116" i="5" s="1"/>
  <c r="BG116" i="5" s="1"/>
  <c r="BE117" i="5"/>
  <c r="BJ116" i="5"/>
  <c r="BD117" i="5" l="1"/>
  <c r="BF117" i="5" s="1"/>
  <c r="BG117" i="5" s="1"/>
  <c r="BE118" i="5"/>
  <c r="BJ117" i="5"/>
  <c r="BD118" i="5" l="1"/>
  <c r="BF118" i="5" s="1"/>
  <c r="BG118" i="5" s="1"/>
  <c r="BJ118" i="5"/>
  <c r="BE119" i="5"/>
  <c r="BD119" i="5" l="1"/>
  <c r="BF119" i="5" s="1"/>
  <c r="BG119" i="5" s="1"/>
  <c r="BJ119" i="5"/>
  <c r="BE120" i="5"/>
  <c r="BD120" i="5" l="1"/>
  <c r="BF120" i="5" s="1"/>
  <c r="BG120" i="5" s="1"/>
  <c r="BJ120" i="5"/>
  <c r="BE121" i="5"/>
  <c r="BE122" i="5" l="1"/>
  <c r="BJ121" i="5"/>
  <c r="BD121" i="5"/>
  <c r="BF121" i="5" s="1"/>
  <c r="BG121" i="5" s="1"/>
  <c r="BJ122" i="5" l="1"/>
  <c r="BD122" i="5"/>
  <c r="BF122" i="5" s="1"/>
  <c r="BG122" i="5" s="1"/>
  <c r="BE123" i="5"/>
  <c r="BD123" i="5" l="1"/>
  <c r="BF123" i="5" s="1"/>
  <c r="BG123" i="5" s="1"/>
  <c r="BE124" i="5"/>
  <c r="BJ123" i="5"/>
  <c r="BJ124" i="5" l="1"/>
  <c r="BD124" i="5"/>
  <c r="BF124" i="5" s="1"/>
  <c r="BG124" i="5" s="1"/>
  <c r="BE125" i="5"/>
  <c r="BJ125" i="5" l="1"/>
  <c r="BD125" i="5"/>
  <c r="BF125" i="5" s="1"/>
  <c r="BG125" i="5" s="1"/>
  <c r="BE126" i="5"/>
  <c r="BE127" i="5" l="1"/>
  <c r="BJ126" i="5"/>
  <c r="BD126" i="5"/>
  <c r="BF126" i="5" s="1"/>
  <c r="BG126" i="5" s="1"/>
  <c r="BE128" i="5" l="1"/>
  <c r="BJ127" i="5"/>
  <c r="BD127" i="5"/>
  <c r="BF127" i="5" s="1"/>
  <c r="BG127" i="5" s="1"/>
  <c r="BJ128" i="5" l="1"/>
  <c r="BD128" i="5"/>
  <c r="BF128" i="5" s="1"/>
  <c r="BG128" i="5" s="1"/>
  <c r="BE129" i="5"/>
  <c r="BJ129" i="5" l="1"/>
  <c r="BD129" i="5"/>
  <c r="BF129" i="5" s="1"/>
  <c r="BG129" i="5" s="1"/>
  <c r="BE130" i="5"/>
  <c r="BD130" i="5" l="1"/>
  <c r="BF130" i="5" s="1"/>
  <c r="BG130" i="5" s="1"/>
  <c r="BJ130" i="5"/>
  <c r="BE131" i="5"/>
  <c r="BJ131" i="5" l="1"/>
  <c r="BD131" i="5"/>
  <c r="BF131" i="5" s="1"/>
  <c r="BG131" i="5" s="1"/>
  <c r="BE132" i="5"/>
  <c r="BE133" i="5" l="1"/>
  <c r="BD132" i="5"/>
  <c r="BF132" i="5" s="1"/>
  <c r="BG132" i="5" s="1"/>
  <c r="BJ132" i="5"/>
  <c r="BJ133" i="5" l="1"/>
  <c r="BE134" i="5"/>
  <c r="BD133" i="5"/>
  <c r="BF133" i="5" s="1"/>
  <c r="BG133" i="5" s="1"/>
  <c r="BD134" i="5" l="1"/>
  <c r="BF134" i="5" s="1"/>
  <c r="BG134" i="5" s="1"/>
  <c r="BE135" i="5"/>
  <c r="BJ134" i="5"/>
  <c r="BJ135" i="5" l="1"/>
  <c r="BD135" i="5"/>
  <c r="BF135" i="5" s="1"/>
  <c r="BG135" i="5" s="1"/>
  <c r="BE136" i="5"/>
  <c r="BJ136" i="5" l="1"/>
  <c r="BE137" i="5"/>
  <c r="BD136" i="5"/>
  <c r="BF136" i="5" s="1"/>
  <c r="BG136" i="5" s="1"/>
  <c r="BE138" i="5" l="1"/>
  <c r="BJ137" i="5"/>
  <c r="BD137" i="5"/>
  <c r="BF137" i="5" s="1"/>
  <c r="BG137" i="5" s="1"/>
  <c r="BJ138" i="5" l="1"/>
  <c r="BE139" i="5"/>
  <c r="BD138" i="5"/>
  <c r="BF138" i="5" s="1"/>
  <c r="BG138" i="5" s="1"/>
  <c r="BD139" i="5" l="1"/>
  <c r="BF139" i="5" s="1"/>
  <c r="BG139" i="5" s="1"/>
  <c r="BE140" i="5"/>
  <c r="BJ139" i="5"/>
  <c r="BE141" i="5" l="1"/>
  <c r="BD140" i="5"/>
  <c r="BF140" i="5" s="1"/>
  <c r="BG140" i="5" s="1"/>
  <c r="BJ140" i="5"/>
  <c r="BD141" i="5" l="1"/>
  <c r="BF141" i="5" s="1"/>
  <c r="BG141" i="5" s="1"/>
  <c r="BE142" i="5"/>
  <c r="BJ141" i="5"/>
  <c r="BD142" i="5" l="1"/>
  <c r="BF142" i="5" s="1"/>
  <c r="BG142" i="5" s="1"/>
  <c r="BE143" i="5"/>
  <c r="BJ142" i="5"/>
  <c r="BJ143" i="5" l="1"/>
  <c r="BE144" i="5"/>
  <c r="BD143" i="5"/>
  <c r="BF143" i="5" s="1"/>
  <c r="BG143" i="5" s="1"/>
  <c r="BD144" i="5" l="1"/>
  <c r="BF144" i="5" s="1"/>
  <c r="BG144" i="5" s="1"/>
  <c r="BE145" i="5"/>
  <c r="BJ144" i="5"/>
  <c r="BJ145" i="5" l="1"/>
  <c r="BD145" i="5"/>
  <c r="BF145" i="5" s="1"/>
  <c r="BG145" i="5" s="1"/>
  <c r="BE146" i="5"/>
  <c r="BE147" i="5" l="1"/>
  <c r="BD146" i="5"/>
  <c r="BF146" i="5" s="1"/>
  <c r="BG146" i="5" s="1"/>
  <c r="BJ146" i="5"/>
  <c r="BD147" i="5" l="1"/>
  <c r="BF147" i="5" s="1"/>
  <c r="BG147" i="5" s="1"/>
  <c r="BJ147" i="5"/>
  <c r="BE148" i="5"/>
  <c r="BE149" i="5" l="1"/>
  <c r="BD148" i="5"/>
  <c r="BF148" i="5" s="1"/>
  <c r="BG148" i="5" s="1"/>
  <c r="BJ148" i="5"/>
  <c r="BJ149" i="5" l="1"/>
  <c r="BE150" i="5"/>
  <c r="BD149" i="5"/>
  <c r="BF149" i="5" s="1"/>
  <c r="BG149" i="5" s="1"/>
  <c r="BD150" i="5" l="1"/>
  <c r="BF150" i="5" s="1"/>
  <c r="BG150" i="5" s="1"/>
  <c r="BE151" i="5"/>
  <c r="BJ150" i="5"/>
  <c r="BD151" i="5" l="1"/>
  <c r="BF151" i="5" s="1"/>
  <c r="BG151" i="5" s="1"/>
  <c r="BJ151" i="5"/>
  <c r="BE152" i="5"/>
  <c r="BE153" i="5" l="1"/>
  <c r="BD152" i="5"/>
  <c r="BF152" i="5" s="1"/>
  <c r="BG152" i="5" s="1"/>
  <c r="BJ152" i="5"/>
  <c r="BE154" i="5" l="1"/>
  <c r="BD153" i="5"/>
  <c r="BF153" i="5" s="1"/>
  <c r="BG153" i="5" s="1"/>
  <c r="BJ153" i="5"/>
  <c r="BE155" i="5" l="1"/>
  <c r="BJ154" i="5"/>
  <c r="BD154" i="5"/>
  <c r="BF154" i="5" s="1"/>
  <c r="BG154" i="5" s="1"/>
  <c r="BE156" i="5" l="1"/>
  <c r="BD155" i="5"/>
  <c r="BF155" i="5" s="1"/>
  <c r="BG155" i="5" s="1"/>
  <c r="BJ155" i="5"/>
  <c r="BE157" i="5" l="1"/>
  <c r="BD156" i="5"/>
  <c r="BF156" i="5" s="1"/>
  <c r="BG156" i="5" s="1"/>
  <c r="BJ156" i="5"/>
  <c r="BE158" i="5" l="1"/>
  <c r="BD157" i="5"/>
  <c r="BF157" i="5" s="1"/>
  <c r="BG157" i="5" s="1"/>
  <c r="BJ157" i="5"/>
  <c r="BJ158" i="5" l="1"/>
  <c r="BD158" i="5"/>
  <c r="BF158" i="5" s="1"/>
  <c r="BG158" i="5" s="1"/>
  <c r="BE159" i="5"/>
  <c r="BE160" i="5" l="1"/>
  <c r="BD159" i="5"/>
  <c r="BF159" i="5" s="1"/>
  <c r="BG159" i="5" s="1"/>
  <c r="BJ159" i="5"/>
  <c r="BD160" i="5" l="1"/>
  <c r="BF160" i="5" s="1"/>
  <c r="BG160" i="5" s="1"/>
  <c r="BJ160" i="5"/>
  <c r="BE161" i="5"/>
  <c r="BD161" i="5" l="1"/>
  <c r="BF161" i="5" s="1"/>
  <c r="BG161" i="5" s="1"/>
  <c r="BJ161" i="5"/>
  <c r="BE162" i="5"/>
  <c r="BE163" i="5" l="1"/>
  <c r="BD162" i="5"/>
  <c r="BF162" i="5" s="1"/>
  <c r="BG162" i="5" s="1"/>
  <c r="BJ162" i="5"/>
  <c r="BE164" i="5" l="1"/>
  <c r="BJ163" i="5"/>
  <c r="BD163" i="5"/>
  <c r="BF163" i="5" s="1"/>
  <c r="BG163" i="5" s="1"/>
  <c r="BE165" i="5" l="1"/>
  <c r="BJ164" i="5"/>
  <c r="BD164" i="5"/>
  <c r="BF164" i="5" s="1"/>
  <c r="BG164" i="5" s="1"/>
  <c r="BJ165" i="5" l="1"/>
  <c r="BD165" i="5"/>
  <c r="BF165" i="5" s="1"/>
  <c r="BG165" i="5" s="1"/>
  <c r="BE166" i="5"/>
  <c r="BE167" i="5" l="1"/>
  <c r="BD166" i="5"/>
  <c r="BF166" i="5" s="1"/>
  <c r="BG166" i="5" s="1"/>
  <c r="BJ166" i="5"/>
  <c r="BD167" i="5" l="1"/>
  <c r="BF167" i="5" s="1"/>
  <c r="BG167" i="5" s="1"/>
  <c r="BJ167" i="5"/>
  <c r="BE168" i="5"/>
  <c r="BE169" i="5" l="1"/>
  <c r="BD168" i="5"/>
  <c r="BF168" i="5" s="1"/>
  <c r="BG168" i="5" s="1"/>
  <c r="BJ168" i="5"/>
  <c r="BJ169" i="5" l="1"/>
  <c r="BD169" i="5"/>
  <c r="BF169" i="5" s="1"/>
  <c r="BG169" i="5" s="1"/>
  <c r="BE170" i="5"/>
  <c r="BE171" i="5" l="1"/>
  <c r="BJ170" i="5"/>
  <c r="BD170" i="5"/>
  <c r="BF170" i="5" s="1"/>
  <c r="BG170" i="5" s="1"/>
  <c r="BE172" i="5" l="1"/>
  <c r="BJ171" i="5"/>
  <c r="BD171" i="5"/>
  <c r="BF171" i="5" s="1"/>
  <c r="BG171" i="5" s="1"/>
  <c r="BJ172" i="5" l="1"/>
  <c r="BD172" i="5"/>
  <c r="BF172" i="5" s="1"/>
  <c r="BG172" i="5" s="1"/>
  <c r="BE173" i="5"/>
  <c r="BD173" i="5" l="1"/>
  <c r="BF173" i="5" s="1"/>
  <c r="BG173" i="5" s="1"/>
  <c r="BE174" i="5"/>
  <c r="BJ173" i="5"/>
  <c r="BE175" i="5" l="1"/>
  <c r="BJ174" i="5"/>
  <c r="BD174" i="5"/>
  <c r="BF174" i="5" s="1"/>
  <c r="BG174" i="5" s="1"/>
  <c r="BE176" i="5" l="1"/>
  <c r="BD175" i="5"/>
  <c r="BF175" i="5" s="1"/>
  <c r="BG175" i="5" s="1"/>
  <c r="BJ175" i="5"/>
  <c r="BD176" i="5" l="1"/>
  <c r="BF176" i="5" s="1"/>
  <c r="BG176" i="5" s="1"/>
  <c r="BE177" i="5"/>
  <c r="BJ176" i="5"/>
  <c r="BJ177" i="5" l="1"/>
  <c r="BE178" i="5"/>
  <c r="BD177" i="5"/>
  <c r="BF177" i="5" s="1"/>
  <c r="BG177" i="5" s="1"/>
  <c r="BE179" i="5" l="1"/>
  <c r="BJ178" i="5"/>
  <c r="BD178" i="5"/>
  <c r="BF178" i="5" s="1"/>
  <c r="BG178" i="5" s="1"/>
  <c r="BJ179" i="5" l="1"/>
  <c r="BD179" i="5"/>
  <c r="BF179" i="5" s="1"/>
  <c r="BG179" i="5" s="1"/>
  <c r="BE180" i="5"/>
  <c r="BD180" i="5" l="1"/>
  <c r="BF180" i="5" s="1"/>
  <c r="BG180" i="5" s="1"/>
  <c r="BE181" i="5"/>
  <c r="BJ180" i="5"/>
  <c r="BJ181" i="5" l="1"/>
  <c r="BD181" i="5"/>
  <c r="BF181" i="5" s="1"/>
  <c r="BG181" i="5" s="1"/>
  <c r="BE182" i="5"/>
  <c r="BE183" i="5" l="1"/>
  <c r="BD182" i="5"/>
  <c r="BF182" i="5" s="1"/>
  <c r="BG182" i="5" s="1"/>
  <c r="BJ182" i="5"/>
  <c r="BE184" i="5" l="1"/>
  <c r="BD183" i="5"/>
  <c r="BF183" i="5" s="1"/>
  <c r="BG183" i="5" s="1"/>
  <c r="BJ183" i="5"/>
  <c r="BD184" i="5" l="1"/>
  <c r="BF184" i="5" s="1"/>
  <c r="BG184" i="5" s="1"/>
  <c r="BE185" i="5"/>
  <c r="BJ184" i="5"/>
  <c r="BJ185" i="5" l="1"/>
  <c r="BE186" i="5"/>
  <c r="BD185" i="5"/>
  <c r="BF185" i="5" s="1"/>
  <c r="BG185" i="5" s="1"/>
  <c r="BJ186" i="5" l="1"/>
  <c r="BD186" i="5"/>
  <c r="BF186" i="5" s="1"/>
  <c r="BG186" i="5" s="1"/>
  <c r="BE187" i="5"/>
  <c r="BD187" i="5" l="1"/>
  <c r="BF187" i="5" s="1"/>
  <c r="BG187" i="5" s="1"/>
  <c r="BE188" i="5"/>
  <c r="BJ187" i="5"/>
  <c r="BE189" i="5" l="1"/>
  <c r="BJ188" i="5"/>
  <c r="BD188" i="5"/>
  <c r="BF188" i="5" s="1"/>
  <c r="BG188" i="5" s="1"/>
  <c r="BJ189" i="5" l="1"/>
  <c r="BD189" i="5"/>
  <c r="BF189" i="5" s="1"/>
  <c r="BG189" i="5" s="1"/>
  <c r="BE190" i="5"/>
  <c r="BD190" i="5" l="1"/>
  <c r="BF190" i="5" s="1"/>
  <c r="BG190" i="5" s="1"/>
  <c r="BJ190" i="5"/>
  <c r="BE191" i="5"/>
  <c r="BE192" i="5" l="1"/>
  <c r="BD191" i="5"/>
  <c r="BF191" i="5" s="1"/>
  <c r="BG191" i="5" s="1"/>
  <c r="BJ191" i="5"/>
  <c r="BD192" i="5" l="1"/>
  <c r="BF192" i="5" s="1"/>
  <c r="BG192" i="5" s="1"/>
  <c r="BJ192" i="5"/>
  <c r="BE193" i="5"/>
  <c r="BD193" i="5" l="1"/>
  <c r="BF193" i="5" s="1"/>
  <c r="BG193" i="5" s="1"/>
  <c r="BJ193" i="5"/>
  <c r="BE194" i="5"/>
  <c r="BE195" i="5" l="1"/>
  <c r="BD194" i="5"/>
  <c r="BF194" i="5" s="1"/>
  <c r="BG194" i="5" s="1"/>
  <c r="BJ194" i="5"/>
  <c r="BE196" i="5" l="1"/>
  <c r="BD195" i="5"/>
  <c r="BF195" i="5" s="1"/>
  <c r="BG195" i="5" s="1"/>
  <c r="BJ195" i="5"/>
  <c r="BE197" i="5" l="1"/>
  <c r="BD196" i="5"/>
  <c r="BF196" i="5" s="1"/>
  <c r="BG196" i="5" s="1"/>
  <c r="BJ196" i="5"/>
  <c r="BE198" i="5" l="1"/>
  <c r="BD197" i="5"/>
  <c r="BF197" i="5" s="1"/>
  <c r="BG197" i="5" s="1"/>
  <c r="BJ197" i="5"/>
  <c r="BJ198" i="5" l="1"/>
  <c r="BD198" i="5"/>
  <c r="BF198" i="5" s="1"/>
  <c r="BG198" i="5" s="1"/>
  <c r="BE199" i="5"/>
  <c r="BE200" i="5" l="1"/>
  <c r="BD199" i="5"/>
  <c r="BF199" i="5" s="1"/>
  <c r="BG199" i="5" s="1"/>
  <c r="BJ199" i="5"/>
  <c r="BJ200" i="5" l="1"/>
  <c r="BD200" i="5"/>
  <c r="BF200" i="5" s="1"/>
  <c r="BG200" i="5" s="1"/>
  <c r="BE201" i="5"/>
  <c r="BJ201" i="5" l="1"/>
  <c r="BD201" i="5"/>
  <c r="BF201" i="5" s="1"/>
  <c r="BG201" i="5" s="1"/>
  <c r="BE202" i="5"/>
  <c r="BJ202" i="5" l="1"/>
  <c r="BD202" i="5"/>
  <c r="BF202" i="5" s="1"/>
  <c r="BG202" i="5" s="1"/>
  <c r="BE203" i="5"/>
  <c r="BJ203" i="5" l="1"/>
  <c r="BD203" i="5"/>
  <c r="BF203" i="5" s="1"/>
  <c r="BG203" i="5" s="1"/>
  <c r="BE204" i="5"/>
  <c r="BJ204" i="5" l="1"/>
  <c r="BD204" i="5"/>
  <c r="BF204" i="5" s="1"/>
  <c r="BG204" i="5" s="1"/>
  <c r="BH204" i="5" s="1"/>
  <c r="BI204" i="5" s="1"/>
  <c r="BH42" i="5" l="1"/>
  <c r="BI42" i="5" s="1"/>
  <c r="BH5" i="5"/>
  <c r="BI5" i="5" s="1"/>
  <c r="BH100" i="5"/>
  <c r="BI100" i="5" s="1"/>
  <c r="BH49" i="5"/>
  <c r="BI49" i="5" s="1"/>
  <c r="BH35" i="5"/>
  <c r="BI35" i="5" s="1"/>
  <c r="BH7" i="5"/>
  <c r="BI7" i="5" s="1"/>
  <c r="BH105" i="5"/>
  <c r="BI105" i="5" s="1"/>
  <c r="BH17" i="5"/>
  <c r="BI17" i="5" s="1"/>
  <c r="BH32" i="5"/>
  <c r="BI32" i="5" s="1"/>
  <c r="BH106" i="5"/>
  <c r="BI106" i="5" s="1"/>
  <c r="BH107" i="5"/>
  <c r="BI107" i="5" s="1"/>
  <c r="BH67" i="5"/>
  <c r="BI67" i="5" s="1"/>
  <c r="BH19" i="5"/>
  <c r="BI19" i="5" s="1"/>
  <c r="BH108" i="5"/>
  <c r="BI108" i="5" s="1"/>
  <c r="BH14" i="5"/>
  <c r="BI14" i="5" s="1"/>
  <c r="BH10" i="5"/>
  <c r="BI10" i="5" s="1"/>
  <c r="BH101" i="5"/>
  <c r="BI101" i="5" s="1"/>
  <c r="BH68" i="5"/>
  <c r="BI68" i="5" s="1"/>
  <c r="BH43" i="5"/>
  <c r="BI43" i="5" s="1"/>
  <c r="BH18" i="5"/>
  <c r="BI18" i="5" s="1"/>
  <c r="BH20" i="5"/>
  <c r="BI20" i="5" s="1"/>
  <c r="BH8" i="5"/>
  <c r="BI8" i="5" s="1"/>
  <c r="BH34" i="5"/>
  <c r="BI34" i="5" s="1"/>
  <c r="BH102" i="5"/>
  <c r="BI102" i="5" s="1"/>
  <c r="BH41" i="5"/>
  <c r="BI41" i="5" s="1"/>
  <c r="BH73" i="5"/>
  <c r="BI73" i="5" s="1"/>
  <c r="BH96" i="5"/>
  <c r="BI96" i="5" s="1"/>
  <c r="BH12" i="5"/>
  <c r="BI12" i="5" s="1"/>
  <c r="BH6" i="5"/>
  <c r="BI6" i="5" s="1"/>
  <c r="BH36" i="5"/>
  <c r="BI36" i="5" s="1"/>
  <c r="BH93" i="5"/>
  <c r="BI93" i="5" s="1"/>
  <c r="BH74" i="5"/>
  <c r="BI74" i="5" s="1"/>
  <c r="BH9" i="5"/>
  <c r="BI9" i="5" s="1"/>
  <c r="BH62" i="5"/>
  <c r="BI62" i="5" s="1"/>
  <c r="BH26" i="5"/>
  <c r="BI26" i="5" s="1"/>
  <c r="BH104" i="5"/>
  <c r="BI104" i="5" s="1"/>
  <c r="BH40" i="5"/>
  <c r="BI40" i="5" s="1"/>
  <c r="BH79" i="5"/>
  <c r="BI79" i="5" s="1"/>
  <c r="BH58" i="5"/>
  <c r="BI58" i="5" s="1"/>
  <c r="BH95" i="5"/>
  <c r="BI95" i="5" s="1"/>
  <c r="BH72" i="5"/>
  <c r="BI72" i="5" s="1"/>
  <c r="BH22" i="5"/>
  <c r="BI22" i="5" s="1"/>
  <c r="BH45" i="5"/>
  <c r="BI45" i="5" s="1"/>
  <c r="BH63" i="5"/>
  <c r="BI63" i="5" s="1"/>
  <c r="BH83" i="5"/>
  <c r="BI83" i="5" s="1"/>
  <c r="BH90" i="5"/>
  <c r="BI90" i="5" s="1"/>
  <c r="BH55" i="5"/>
  <c r="BI55" i="5" s="1"/>
  <c r="BH47" i="5"/>
  <c r="BI47" i="5" s="1"/>
  <c r="BH77" i="5"/>
  <c r="BI77" i="5" s="1"/>
  <c r="BH15" i="5"/>
  <c r="BI15" i="5" s="1"/>
  <c r="BH57" i="5"/>
  <c r="BI57" i="5" s="1"/>
  <c r="BH88" i="5"/>
  <c r="BI88" i="5" s="1"/>
  <c r="BH109" i="5"/>
  <c r="BI109" i="5" s="1"/>
  <c r="BH94" i="5"/>
  <c r="BI94" i="5" s="1"/>
  <c r="BH85" i="5"/>
  <c r="BI85" i="5" s="1"/>
  <c r="BH69" i="5"/>
  <c r="BI69" i="5" s="1"/>
  <c r="BH61" i="5"/>
  <c r="BI61" i="5" s="1"/>
  <c r="BH39" i="5"/>
  <c r="BI39" i="5" s="1"/>
  <c r="BH46" i="5"/>
  <c r="BI46" i="5" s="1"/>
  <c r="BH71" i="5"/>
  <c r="BI71" i="5" s="1"/>
  <c r="BH78" i="5"/>
  <c r="BI78" i="5" s="1"/>
  <c r="BH52" i="5"/>
  <c r="BI52" i="5" s="1"/>
  <c r="BH29" i="5"/>
  <c r="BI29" i="5" s="1"/>
  <c r="BH38" i="5"/>
  <c r="BI38" i="5" s="1"/>
  <c r="BH87" i="5"/>
  <c r="BI87" i="5" s="1"/>
  <c r="BH50" i="5"/>
  <c r="BI50" i="5" s="1"/>
  <c r="BH48" i="5"/>
  <c r="BI48" i="5" s="1"/>
  <c r="BH92" i="5"/>
  <c r="BI92" i="5" s="1"/>
  <c r="BH23" i="5"/>
  <c r="BI23" i="5" s="1"/>
  <c r="BH31" i="5"/>
  <c r="BI31" i="5" s="1"/>
  <c r="BH24" i="5"/>
  <c r="BI24" i="5" s="1"/>
  <c r="BH103" i="5"/>
  <c r="BI103" i="5" s="1"/>
  <c r="BH64" i="5"/>
  <c r="BI64" i="5" s="1"/>
  <c r="BH33" i="5"/>
  <c r="BI33" i="5" s="1"/>
  <c r="BH37" i="5"/>
  <c r="BI37" i="5" s="1"/>
  <c r="BH51" i="5"/>
  <c r="BI51" i="5" s="1"/>
  <c r="BH66" i="5"/>
  <c r="BI66" i="5" s="1"/>
  <c r="BH86" i="5"/>
  <c r="BI86" i="5" s="1"/>
  <c r="BH91" i="5"/>
  <c r="BI91" i="5" s="1"/>
  <c r="BH98" i="5"/>
  <c r="BI98" i="5" s="1"/>
  <c r="BH44" i="5"/>
  <c r="BI44" i="5" s="1"/>
  <c r="BH30" i="5"/>
  <c r="BI30" i="5" s="1"/>
  <c r="BH21" i="5"/>
  <c r="BI21" i="5" s="1"/>
  <c r="BH16" i="5"/>
  <c r="BI16" i="5" s="1"/>
  <c r="BH84" i="5"/>
  <c r="BI84" i="5" s="1"/>
  <c r="BH59" i="5"/>
  <c r="BI59" i="5" s="1"/>
  <c r="BH70" i="5"/>
  <c r="BI70" i="5" s="1"/>
  <c r="BH27" i="5"/>
  <c r="BI27" i="5" s="1"/>
  <c r="BH28" i="5"/>
  <c r="BI28" i="5" s="1"/>
  <c r="BH82" i="5"/>
  <c r="BI82" i="5" s="1"/>
  <c r="BH60" i="5"/>
  <c r="BI60" i="5" s="1"/>
  <c r="BH13" i="5"/>
  <c r="BI13" i="5" s="1"/>
  <c r="BH81" i="5"/>
  <c r="BI81" i="5" s="1"/>
  <c r="BH76" i="5"/>
  <c r="BI76" i="5" s="1"/>
  <c r="BH99" i="5"/>
  <c r="BI99" i="5" s="1"/>
  <c r="BH97" i="5"/>
  <c r="BI97" i="5" s="1"/>
  <c r="BH89" i="5"/>
  <c r="BI89" i="5" s="1"/>
  <c r="BH56" i="5"/>
  <c r="BI56" i="5" s="1"/>
  <c r="BH53" i="5"/>
  <c r="BI53" i="5" s="1"/>
  <c r="BH65" i="5"/>
  <c r="BI65" i="5" s="1"/>
  <c r="BH11" i="5"/>
  <c r="BI11" i="5" s="1"/>
  <c r="BH75" i="5"/>
  <c r="BI75" i="5" s="1"/>
  <c r="BH25" i="5"/>
  <c r="BI25" i="5" s="1"/>
  <c r="BH80" i="5"/>
  <c r="BI80" i="5" s="1"/>
  <c r="BH54" i="5"/>
  <c r="BI54" i="5" s="1"/>
  <c r="BH110" i="5"/>
  <c r="BI110" i="5" s="1"/>
  <c r="BH111" i="5"/>
  <c r="BI111" i="5" s="1"/>
  <c r="BH112" i="5"/>
  <c r="BI112" i="5" s="1"/>
  <c r="BH113" i="5"/>
  <c r="BI113" i="5" s="1"/>
  <c r="BH114" i="5"/>
  <c r="BI114" i="5" s="1"/>
  <c r="BH115" i="5"/>
  <c r="BI115" i="5" s="1"/>
  <c r="BH116" i="5"/>
  <c r="BI116" i="5" s="1"/>
  <c r="BH118" i="5"/>
  <c r="BI118" i="5" s="1"/>
  <c r="BH117" i="5"/>
  <c r="BI117" i="5" s="1"/>
  <c r="BH120" i="5"/>
  <c r="BI120" i="5" s="1"/>
  <c r="BH119" i="5"/>
  <c r="BI119" i="5" s="1"/>
  <c r="BH123" i="5"/>
  <c r="BI123" i="5" s="1"/>
  <c r="BH121" i="5"/>
  <c r="BI121" i="5" s="1"/>
  <c r="BH122" i="5"/>
  <c r="BI122" i="5" s="1"/>
  <c r="BH124" i="5"/>
  <c r="BI124" i="5" s="1"/>
  <c r="BH126" i="5"/>
  <c r="BI126" i="5" s="1"/>
  <c r="BH125" i="5"/>
  <c r="BI125" i="5" s="1"/>
  <c r="BH127" i="5"/>
  <c r="BI127" i="5" s="1"/>
  <c r="BH129" i="5"/>
  <c r="BI129" i="5" s="1"/>
  <c r="BH128" i="5"/>
  <c r="BI128" i="5" s="1"/>
  <c r="BH130" i="5"/>
  <c r="BI130" i="5" s="1"/>
  <c r="BH131" i="5"/>
  <c r="BI131" i="5" s="1"/>
  <c r="BH134" i="5"/>
  <c r="BI134" i="5" s="1"/>
  <c r="BH132" i="5"/>
  <c r="BI132" i="5" s="1"/>
  <c r="BH133" i="5"/>
  <c r="BI133" i="5" s="1"/>
  <c r="BH135" i="5"/>
  <c r="BI135" i="5" s="1"/>
  <c r="BH137" i="5"/>
  <c r="BI137" i="5" s="1"/>
  <c r="BH136" i="5"/>
  <c r="BI136" i="5" s="1"/>
  <c r="BH139" i="5"/>
  <c r="BI139" i="5" s="1"/>
  <c r="BH138" i="5"/>
  <c r="BI138" i="5" s="1"/>
  <c r="BH140" i="5"/>
  <c r="BI140" i="5" s="1"/>
  <c r="BH142" i="5"/>
  <c r="BI142" i="5" s="1"/>
  <c r="BH141" i="5"/>
  <c r="BI141" i="5" s="1"/>
  <c r="BH144" i="5"/>
  <c r="BI144" i="5" s="1"/>
  <c r="BH143" i="5"/>
  <c r="BI143" i="5" s="1"/>
  <c r="BH146" i="5"/>
  <c r="BI146" i="5" s="1"/>
  <c r="BH145" i="5"/>
  <c r="BI145" i="5" s="1"/>
  <c r="BH148" i="5"/>
  <c r="BI148" i="5" s="1"/>
  <c r="BH147" i="5"/>
  <c r="BI147" i="5" s="1"/>
  <c r="BH150" i="5"/>
  <c r="BI150" i="5" s="1"/>
  <c r="BH149" i="5"/>
  <c r="BI149" i="5" s="1"/>
  <c r="BH152" i="5"/>
  <c r="BI152" i="5" s="1"/>
  <c r="BH151" i="5"/>
  <c r="BI151" i="5" s="1"/>
  <c r="BH154" i="5"/>
  <c r="BI154" i="5" s="1"/>
  <c r="BH153" i="5"/>
  <c r="BI153" i="5" s="1"/>
  <c r="BH156" i="5"/>
  <c r="BI156" i="5" s="1"/>
  <c r="BH155" i="5"/>
  <c r="BI155" i="5" s="1"/>
  <c r="BH157" i="5"/>
  <c r="BI157" i="5" s="1"/>
  <c r="BH158" i="5"/>
  <c r="BI158" i="5" s="1"/>
  <c r="BH160" i="5"/>
  <c r="BI160" i="5" s="1"/>
  <c r="BH159" i="5"/>
  <c r="BI159" i="5" s="1"/>
  <c r="BH162" i="5"/>
  <c r="BI162" i="5" s="1"/>
  <c r="BH161" i="5"/>
  <c r="BI161" i="5" s="1"/>
  <c r="BH164" i="5"/>
  <c r="BI164" i="5" s="1"/>
  <c r="BH163" i="5"/>
  <c r="BI163" i="5" s="1"/>
  <c r="BH165" i="5"/>
  <c r="BI165" i="5" s="1"/>
  <c r="BH167" i="5"/>
  <c r="BI167" i="5" s="1"/>
  <c r="BH166" i="5"/>
  <c r="BI166" i="5" s="1"/>
  <c r="BH169" i="5"/>
  <c r="BI169" i="5" s="1"/>
  <c r="BH168" i="5"/>
  <c r="BI168" i="5" s="1"/>
  <c r="BH171" i="5"/>
  <c r="BI171" i="5" s="1"/>
  <c r="BH170" i="5"/>
  <c r="BI170" i="5" s="1"/>
  <c r="BH172" i="5"/>
  <c r="BI172" i="5" s="1"/>
  <c r="BH174" i="5"/>
  <c r="BI174" i="5" s="1"/>
  <c r="BH173" i="5"/>
  <c r="BI173" i="5" s="1"/>
  <c r="BH176" i="5"/>
  <c r="BI176" i="5" s="1"/>
  <c r="BH175" i="5"/>
  <c r="BI175" i="5" s="1"/>
  <c r="BH178" i="5"/>
  <c r="BI178" i="5" s="1"/>
  <c r="BH177" i="5"/>
  <c r="BI177" i="5" s="1"/>
  <c r="BH179" i="5"/>
  <c r="BI179" i="5" s="1"/>
  <c r="BH180" i="5"/>
  <c r="BI180" i="5" s="1"/>
  <c r="BH181" i="5"/>
  <c r="BI181" i="5" s="1"/>
  <c r="BH183" i="5"/>
  <c r="BI183" i="5" s="1"/>
  <c r="BH182" i="5"/>
  <c r="BI182" i="5" s="1"/>
  <c r="BH185" i="5"/>
  <c r="BI185" i="5" s="1"/>
  <c r="BH184" i="5"/>
  <c r="BI184" i="5" s="1"/>
  <c r="BH187" i="5"/>
  <c r="BI187" i="5" s="1"/>
  <c r="BH186" i="5"/>
  <c r="BI186" i="5" s="1"/>
  <c r="BH189" i="5"/>
  <c r="BI189" i="5" s="1"/>
  <c r="BH188" i="5"/>
  <c r="BI188" i="5" s="1"/>
  <c r="BH191" i="5"/>
  <c r="BI191" i="5" s="1"/>
  <c r="BH190" i="5"/>
  <c r="BI190" i="5" s="1"/>
  <c r="BH193" i="5"/>
  <c r="BI193" i="5" s="1"/>
  <c r="BH192" i="5"/>
  <c r="BI192" i="5" s="1"/>
  <c r="BH195" i="5"/>
  <c r="BI195" i="5" s="1"/>
  <c r="BH194" i="5"/>
  <c r="BI194" i="5" s="1"/>
  <c r="BH197" i="5"/>
  <c r="BI197" i="5" s="1"/>
  <c r="BH196" i="5"/>
  <c r="BI196" i="5" s="1"/>
  <c r="BH198" i="5"/>
  <c r="BI198" i="5" s="1"/>
  <c r="BH201" i="5"/>
  <c r="BI201" i="5" s="1"/>
  <c r="BH199" i="5"/>
  <c r="BI199" i="5" s="1"/>
  <c r="BH203" i="5"/>
  <c r="BI203" i="5" s="1"/>
  <c r="BH200" i="5"/>
  <c r="BI200" i="5" s="1"/>
  <c r="BH202" i="5"/>
  <c r="BI202" i="5" s="1"/>
  <c r="BM10" i="5" l="1"/>
  <c r="BM11" i="5" s="1"/>
  <c r="BM12" i="5" s="1"/>
  <c r="BM18" i="5" l="1"/>
  <c r="BM16" i="5"/>
  <c r="BM17" i="5"/>
  <c r="BM15" i="5"/>
  <c r="BM20" i="5" l="1"/>
  <c r="P26" i="1" s="1"/>
</calcChain>
</file>

<file path=xl/comments1.xml><?xml version="1.0" encoding="utf-8"?>
<comments xmlns="http://schemas.openxmlformats.org/spreadsheetml/2006/main">
  <authors>
    <author>Bauer Gernot</author>
  </authors>
  <commentList>
    <comment ref="N18" authorId="0" shapeId="0">
      <text>
        <r>
          <rPr>
            <b/>
            <sz val="9"/>
            <color indexed="81"/>
            <rFont val="Tahoma"/>
            <family val="2"/>
          </rPr>
          <t>Bauer Gernot:</t>
        </r>
        <r>
          <rPr>
            <sz val="9"/>
            <color indexed="81"/>
            <rFont val="Tahoma"/>
            <family val="2"/>
          </rPr>
          <t xml:space="preserve">
Rule of thumb:
classes histogramm k = root (n) ; 
rounded on integer
min = 3 ; max = 20</t>
        </r>
      </text>
    </comment>
  </commentList>
</comments>
</file>

<file path=xl/sharedStrings.xml><?xml version="1.0" encoding="utf-8"?>
<sst xmlns="http://schemas.openxmlformats.org/spreadsheetml/2006/main" count="129" uniqueCount="98">
  <si>
    <t>i</t>
  </si>
  <si>
    <t>xi</t>
  </si>
  <si>
    <t>Überschreitungsanteil p</t>
  </si>
  <si>
    <t>X Wert</t>
  </si>
  <si>
    <t>Y Wert</t>
  </si>
  <si>
    <t>Nummer</t>
  </si>
  <si>
    <t>Untere</t>
  </si>
  <si>
    <t>Obere</t>
  </si>
  <si>
    <t>Absolute</t>
  </si>
  <si>
    <t>Relative</t>
  </si>
  <si>
    <t>Häufig-</t>
  </si>
  <si>
    <t>der</t>
  </si>
  <si>
    <t>Klassen-</t>
  </si>
  <si>
    <t>Summen-</t>
  </si>
  <si>
    <t>keits-</t>
  </si>
  <si>
    <t>Klasse</t>
  </si>
  <si>
    <t>grenze</t>
  </si>
  <si>
    <t>mitte</t>
  </si>
  <si>
    <t>breite</t>
  </si>
  <si>
    <t>häufigkeit</t>
  </si>
  <si>
    <t>Häufigkeit</t>
  </si>
  <si>
    <t>dichte</t>
  </si>
  <si>
    <t>j</t>
  </si>
  <si>
    <t>h(x)</t>
  </si>
  <si>
    <t>Zähler</t>
  </si>
  <si>
    <t>Minimum</t>
  </si>
  <si>
    <t>Maximum</t>
  </si>
  <si>
    <t>Beobachteter Überschr</t>
  </si>
  <si>
    <t>PUGW</t>
  </si>
  <si>
    <t>POGW</t>
  </si>
  <si>
    <t>Prozess- und Maschinenfähigkeit</t>
  </si>
  <si>
    <t>Stichprobe chronologisch</t>
  </si>
  <si>
    <t>Wahrscheinlichkeitsnetz</t>
  </si>
  <si>
    <t>x-quer+u∙s</t>
  </si>
  <si>
    <t>u</t>
  </si>
  <si>
    <t>Helfer</t>
  </si>
  <si>
    <t>Mittelwert</t>
  </si>
  <si>
    <t>OGW</t>
  </si>
  <si>
    <t>UGW</t>
  </si>
  <si>
    <t>Sollwert</t>
  </si>
  <si>
    <t>Fehlerindikator</t>
  </si>
  <si>
    <t>Summe</t>
  </si>
  <si>
    <t>Histogramm Normalverteilung</t>
  </si>
  <si>
    <t>Histogramm Messwerte</t>
  </si>
  <si>
    <r>
      <t xml:space="preserve">Median </t>
    </r>
    <r>
      <rPr>
        <b/>
        <sz val="14"/>
        <rFont val="Symbol"/>
        <family val="1"/>
        <charset val="2"/>
      </rPr>
      <t>z</t>
    </r>
  </si>
  <si>
    <t>Anzahl Klassen Histogramm</t>
  </si>
  <si>
    <t>Prozess nicht fähig</t>
  </si>
  <si>
    <t>xi sortiert</t>
  </si>
  <si>
    <t>S</t>
  </si>
  <si>
    <t>z</t>
  </si>
  <si>
    <t>Wert</t>
  </si>
  <si>
    <t>Summe S</t>
  </si>
  <si>
    <t>AD</t>
  </si>
  <si>
    <t>p1</t>
  </si>
  <si>
    <t>p2</t>
  </si>
  <si>
    <t>p Wert</t>
  </si>
  <si>
    <t>p3</t>
  </si>
  <si>
    <t>p4</t>
  </si>
  <si>
    <t>AD*</t>
  </si>
  <si>
    <t>Test auf Normalverteilung (Anderson Darling)</t>
  </si>
  <si>
    <r>
      <t>p</t>
    </r>
    <r>
      <rPr>
        <b/>
        <vertAlign val="subscript"/>
        <sz val="14"/>
        <rFont val="Arial"/>
        <family val="2"/>
      </rPr>
      <t>UGW</t>
    </r>
  </si>
  <si>
    <r>
      <t>p</t>
    </r>
    <r>
      <rPr>
        <b/>
        <vertAlign val="subscript"/>
        <sz val="14"/>
        <rFont val="Arial"/>
        <family val="2"/>
      </rPr>
      <t>OGW</t>
    </r>
  </si>
  <si>
    <t>p</t>
  </si>
  <si>
    <r>
      <t>C</t>
    </r>
    <r>
      <rPr>
        <vertAlign val="subscript"/>
        <sz val="10"/>
        <rFont val="Calibri"/>
        <family val="2"/>
      </rPr>
      <t>pu</t>
    </r>
  </si>
  <si>
    <r>
      <t>C</t>
    </r>
    <r>
      <rPr>
        <vertAlign val="subscript"/>
        <sz val="10"/>
        <rFont val="Calibri"/>
        <family val="2"/>
      </rPr>
      <t>po</t>
    </r>
  </si>
  <si>
    <r>
      <t>C</t>
    </r>
    <r>
      <rPr>
        <vertAlign val="subscript"/>
        <sz val="10"/>
        <rFont val="Calibri"/>
        <family val="2"/>
      </rPr>
      <t>p</t>
    </r>
  </si>
  <si>
    <r>
      <t>C</t>
    </r>
    <r>
      <rPr>
        <vertAlign val="subscript"/>
        <sz val="10"/>
        <rFont val="Calibri"/>
        <family val="2"/>
      </rPr>
      <t>pk</t>
    </r>
  </si>
  <si>
    <r>
      <t>Überschreitungsanteil p</t>
    </r>
    <r>
      <rPr>
        <vertAlign val="subscript"/>
        <sz val="10"/>
        <rFont val="Calibri"/>
        <family val="2"/>
      </rPr>
      <t>UGW</t>
    </r>
  </si>
  <si>
    <r>
      <t>Überschreitungsanteil p</t>
    </r>
    <r>
      <rPr>
        <vertAlign val="subscript"/>
        <sz val="10"/>
        <rFont val="Calibri"/>
        <family val="2"/>
      </rPr>
      <t>OGW</t>
    </r>
  </si>
  <si>
    <r>
      <t>UKG</t>
    </r>
    <r>
      <rPr>
        <vertAlign val="subscript"/>
        <sz val="10"/>
        <rFont val="Calibri"/>
        <family val="2"/>
      </rPr>
      <t>j</t>
    </r>
  </si>
  <si>
    <r>
      <t>OKG</t>
    </r>
    <r>
      <rPr>
        <vertAlign val="subscript"/>
        <sz val="10"/>
        <rFont val="Calibri"/>
        <family val="2"/>
      </rPr>
      <t>j</t>
    </r>
  </si>
  <si>
    <r>
      <t>x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´</t>
    </r>
  </si>
  <si>
    <r>
      <t>w</t>
    </r>
    <r>
      <rPr>
        <vertAlign val="subscript"/>
        <sz val="10"/>
        <rFont val="Calibri"/>
        <family val="2"/>
      </rPr>
      <t>j</t>
    </r>
  </si>
  <si>
    <r>
      <t>G(OKG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)</t>
    </r>
  </si>
  <si>
    <r>
      <t>H(OKG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)</t>
    </r>
  </si>
  <si>
    <r>
      <t>n</t>
    </r>
    <r>
      <rPr>
        <vertAlign val="subscript"/>
        <sz val="10"/>
        <rFont val="Calibri"/>
        <family val="2"/>
      </rPr>
      <t>j</t>
    </r>
  </si>
  <si>
    <r>
      <t>h</t>
    </r>
    <r>
      <rPr>
        <vertAlign val="subscript"/>
        <sz val="10"/>
        <rFont val="Calibri"/>
        <family val="2"/>
      </rPr>
      <t>j</t>
    </r>
  </si>
  <si>
    <t>BG</t>
  </si>
  <si>
    <t xml:space="preserve">
</t>
  </si>
  <si>
    <t>n</t>
  </si>
  <si>
    <t>xn</t>
  </si>
  <si>
    <t>Sigma LEVEL =</t>
  </si>
  <si>
    <t>Berechnete Leistung in DPPM</t>
  </si>
  <si>
    <t>Beobachtete Leistung in DPPM</t>
  </si>
  <si>
    <t>Anteil n.i.O. %</t>
  </si>
  <si>
    <t>Sigma Level</t>
  </si>
  <si>
    <t>Testartikel1</t>
  </si>
  <si>
    <t>Testmerkmal1</t>
  </si>
  <si>
    <t>mm</t>
  </si>
  <si>
    <r>
      <t>C</t>
    </r>
    <r>
      <rPr>
        <b/>
        <vertAlign val="subscript"/>
        <sz val="14"/>
        <color theme="0"/>
        <rFont val="Arial"/>
        <family val="2"/>
      </rPr>
      <t>pk&lt;</t>
    </r>
  </si>
  <si>
    <t>Max Mustermann</t>
  </si>
  <si>
    <t>Testartikelnummer</t>
  </si>
  <si>
    <t>Zeichung 123</t>
  </si>
  <si>
    <t>Messschieber</t>
  </si>
  <si>
    <r>
      <t>C</t>
    </r>
    <r>
      <rPr>
        <b/>
        <vertAlign val="subscript"/>
        <sz val="14"/>
        <rFont val="Calibri"/>
        <family val="2"/>
        <scheme val="minor"/>
      </rPr>
      <t>pu</t>
    </r>
    <r>
      <rPr>
        <b/>
        <sz val="14"/>
        <rFont val="Calibri"/>
        <family val="2"/>
        <scheme val="minor"/>
      </rPr>
      <t>/C</t>
    </r>
    <r>
      <rPr>
        <b/>
        <vertAlign val="subscript"/>
        <sz val="14"/>
        <rFont val="Calibri"/>
        <family val="2"/>
        <scheme val="minor"/>
      </rPr>
      <t>mu</t>
    </r>
  </si>
  <si>
    <r>
      <t>C</t>
    </r>
    <r>
      <rPr>
        <b/>
        <vertAlign val="subscript"/>
        <sz val="14"/>
        <rFont val="Calibri"/>
        <family val="2"/>
        <scheme val="minor"/>
      </rPr>
      <t>po</t>
    </r>
    <r>
      <rPr>
        <b/>
        <sz val="14"/>
        <rFont val="Calibri"/>
        <family val="2"/>
        <scheme val="minor"/>
      </rPr>
      <t>/C</t>
    </r>
    <r>
      <rPr>
        <b/>
        <vertAlign val="subscript"/>
        <sz val="14"/>
        <rFont val="Calibri"/>
        <family val="2"/>
        <scheme val="minor"/>
      </rPr>
      <t>mo</t>
    </r>
  </si>
  <si>
    <r>
      <t>C</t>
    </r>
    <r>
      <rPr>
        <b/>
        <vertAlign val="subscript"/>
        <sz val="14"/>
        <rFont val="Calibri"/>
        <family val="2"/>
        <scheme val="minor"/>
      </rPr>
      <t>p</t>
    </r>
    <r>
      <rPr>
        <b/>
        <sz val="14"/>
        <rFont val="Calibri"/>
        <family val="2"/>
        <scheme val="minor"/>
      </rPr>
      <t>/C</t>
    </r>
    <r>
      <rPr>
        <b/>
        <vertAlign val="subscript"/>
        <sz val="14"/>
        <rFont val="Calibri"/>
        <family val="2"/>
        <scheme val="minor"/>
      </rPr>
      <t>m</t>
    </r>
  </si>
  <si>
    <r>
      <t>C</t>
    </r>
    <r>
      <rPr>
        <b/>
        <vertAlign val="subscript"/>
        <sz val="14"/>
        <rFont val="Calibri"/>
        <family val="2"/>
        <scheme val="minor"/>
      </rPr>
      <t>pk</t>
    </r>
    <r>
      <rPr>
        <b/>
        <sz val="14"/>
        <rFont val="Calibri"/>
        <family val="2"/>
        <scheme val="minor"/>
      </rPr>
      <t>/C</t>
    </r>
    <r>
      <rPr>
        <b/>
        <vertAlign val="subscript"/>
        <sz val="14"/>
        <rFont val="Calibri"/>
        <family val="2"/>
        <scheme val="minor"/>
      </rPr>
      <t>mk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</si>
</sst>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€_-;\-* #,##0.00\ _€_-;_-* &quot;-&quot;??\ _€_-;_-@_-"/>
    <numFmt numFmtId="165" formatCode="0.00000"/>
    <numFmt numFmtId="166" formatCode="0.0%"/>
    <numFmt numFmtId="167" formatCode="0.000"/>
    <numFmt numFmtId="168" formatCode="#,##0.00_ ;\-#,##0.00\ "/>
    <numFmt numFmtId="169" formatCode="0.0000"/>
    <numFmt numFmtId="170" formatCode="#,##0.0000_ ;\-#,##0.0000\ "/>
    <numFmt numFmtId="171" formatCode="#,##0_ ;\-#,##0\ "/>
    <numFmt numFmtId="172" formatCode="#,##0.000"/>
    <numFmt numFmtId="173" formatCode="#,##0.0000"/>
    <numFmt numFmtId="174" formatCode="#,##0.00000_ ;\-#,##0.00000\ "/>
    <numFmt numFmtId="175" formatCode="0.0"/>
    <numFmt numFmtId="176" formatCode="0.0000%"/>
  </numFmts>
  <fonts count="43" x14ac:knownFonts="1">
    <font>
      <sz val="11"/>
      <color theme="1"/>
      <name val="Calibri"/>
      <family val="2"/>
      <scheme val="minor"/>
    </font>
    <font>
      <b/>
      <sz val="14"/>
      <name val="Symbol"/>
      <family val="1"/>
      <charset val="2"/>
    </font>
    <font>
      <b/>
      <vertAlign val="subscript"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u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3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28"/>
      <name val="Calibri"/>
      <family val="2"/>
      <scheme val="minor"/>
    </font>
    <font>
      <sz val="28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Arial"/>
      <family val="2"/>
    </font>
    <font>
      <b/>
      <vertAlign val="subscript"/>
      <sz val="14"/>
      <color theme="0"/>
      <name val="Arial"/>
      <family val="2"/>
    </font>
    <font>
      <b/>
      <vertAlign val="subscript"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Border="1" applyProtection="1">
      <protection hidden="1"/>
    </xf>
    <xf numFmtId="3" fontId="16" fillId="0" borderId="1" xfId="0" applyNumberFormat="1" applyFont="1" applyFill="1" applyBorder="1" applyAlignment="1" applyProtection="1">
      <alignment horizontal="center" vertical="center"/>
      <protection locked="0"/>
    </xf>
    <xf numFmtId="2" fontId="16" fillId="0" borderId="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Protection="1">
      <protection hidden="1"/>
    </xf>
    <xf numFmtId="0" fontId="20" fillId="0" borderId="0" xfId="0" applyFont="1" applyBorder="1" applyProtection="1"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167" fontId="6" fillId="0" borderId="0" xfId="0" applyNumberFormat="1" applyFont="1" applyFill="1" applyBorder="1" applyAlignment="1" applyProtection="1">
      <alignment vertical="center"/>
      <protection hidden="1"/>
    </xf>
    <xf numFmtId="2" fontId="7" fillId="0" borderId="0" xfId="0" applyNumberFormat="1" applyFont="1" applyFill="1" applyBorder="1" applyAlignment="1" applyProtection="1">
      <alignment vertical="center"/>
      <protection hidden="1"/>
    </xf>
    <xf numFmtId="165" fontId="6" fillId="0" borderId="0" xfId="0" applyNumberFormat="1" applyFont="1" applyFill="1" applyBorder="1" applyAlignment="1" applyProtection="1">
      <alignment vertical="center"/>
      <protection hidden="1"/>
    </xf>
    <xf numFmtId="1" fontId="5" fillId="0" borderId="0" xfId="0" applyNumberFormat="1" applyFont="1" applyFill="1" applyBorder="1" applyAlignment="1" applyProtection="1">
      <alignment vertical="center"/>
      <protection hidden="1"/>
    </xf>
    <xf numFmtId="166" fontId="7" fillId="0" borderId="0" xfId="3" applyNumberFormat="1" applyFont="1" applyFill="1" applyBorder="1" applyAlignment="1" applyProtection="1">
      <alignment vertical="center"/>
      <protection hidden="1"/>
    </xf>
    <xf numFmtId="1" fontId="7" fillId="0" borderId="0" xfId="0" applyNumberFormat="1" applyFont="1" applyFill="1" applyBorder="1" applyAlignment="1" applyProtection="1">
      <alignment vertical="center"/>
      <protection hidden="1"/>
    </xf>
    <xf numFmtId="2" fontId="5" fillId="0" borderId="0" xfId="3" applyNumberFormat="1" applyFont="1" applyFill="1" applyBorder="1" applyAlignment="1" applyProtection="1">
      <alignment vertical="center"/>
      <protection hidden="1"/>
    </xf>
    <xf numFmtId="167" fontId="19" fillId="0" borderId="0" xfId="0" applyNumberFormat="1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Border="1" applyProtection="1">
      <protection hidden="1"/>
    </xf>
    <xf numFmtId="0" fontId="22" fillId="0" borderId="0" xfId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23" fillId="0" borderId="3" xfId="0" applyFont="1" applyBorder="1" applyProtection="1">
      <protection hidden="1"/>
    </xf>
    <xf numFmtId="0" fontId="15" fillId="0" borderId="3" xfId="0" applyFont="1" applyBorder="1" applyProtection="1">
      <protection hidden="1"/>
    </xf>
    <xf numFmtId="0" fontId="15" fillId="0" borderId="4" xfId="0" applyFont="1" applyBorder="1" applyProtection="1">
      <protection hidden="1"/>
    </xf>
    <xf numFmtId="0" fontId="1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15" fillId="0" borderId="6" xfId="0" applyFont="1" applyBorder="1" applyProtection="1">
      <protection hidden="1"/>
    </xf>
    <xf numFmtId="0" fontId="24" fillId="0" borderId="0" xfId="0" applyFont="1" applyBorder="1" applyAlignment="1" applyProtection="1">
      <protection hidden="1"/>
    </xf>
    <xf numFmtId="0" fontId="25" fillId="0" borderId="0" xfId="0" applyFont="1" applyBorder="1" applyAlignment="1" applyProtection="1">
      <protection hidden="1"/>
    </xf>
    <xf numFmtId="0" fontId="23" fillId="0" borderId="0" xfId="0" applyFont="1" applyBorder="1" applyProtection="1">
      <protection hidden="1"/>
    </xf>
    <xf numFmtId="0" fontId="15" fillId="0" borderId="0" xfId="0" applyFont="1" applyBorder="1" applyProtection="1">
      <protection hidden="1"/>
    </xf>
    <xf numFmtId="0" fontId="0" fillId="0" borderId="5" xfId="0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5" fillId="0" borderId="6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169" fontId="3" fillId="0" borderId="0" xfId="0" applyNumberFormat="1" applyFont="1" applyFill="1" applyBorder="1" applyAlignment="1" applyProtection="1">
      <alignment horizontal="center" vertical="center"/>
      <protection hidden="1"/>
    </xf>
    <xf numFmtId="167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2" fontId="19" fillId="0" borderId="0" xfId="0" applyNumberFormat="1" applyFont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67" fontId="19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167" fontId="19" fillId="0" borderId="0" xfId="0" applyNumberFormat="1" applyFont="1" applyFill="1" applyBorder="1" applyAlignment="1" applyProtection="1">
      <alignment vertical="center"/>
      <protection hidden="1"/>
    </xf>
    <xf numFmtId="1" fontId="18" fillId="3" borderId="1" xfId="0" applyNumberFormat="1" applyFont="1" applyFill="1" applyBorder="1" applyAlignment="1" applyProtection="1">
      <alignment horizontal="center" vertical="center"/>
      <protection hidden="1"/>
    </xf>
    <xf numFmtId="2" fontId="18" fillId="3" borderId="1" xfId="0" applyNumberFormat="1" applyFont="1" applyFill="1" applyBorder="1" applyAlignment="1" applyProtection="1">
      <alignment horizontal="center" vertical="center"/>
      <protection hidden="1"/>
    </xf>
    <xf numFmtId="1" fontId="18" fillId="3" borderId="1" xfId="3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13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28" fillId="0" borderId="8" xfId="0" applyFont="1" applyBorder="1" applyProtection="1">
      <protection hidden="1"/>
    </xf>
    <xf numFmtId="0" fontId="13" fillId="0" borderId="9" xfId="0" applyFont="1" applyBorder="1" applyProtection="1">
      <protection hidden="1"/>
    </xf>
    <xf numFmtId="2" fontId="19" fillId="0" borderId="0" xfId="0" applyNumberFormat="1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Border="1" applyAlignment="1" applyProtection="1">
      <alignment vertical="center"/>
      <protection hidden="1"/>
    </xf>
    <xf numFmtId="2" fontId="19" fillId="0" borderId="0" xfId="0" applyNumberFormat="1" applyFont="1" applyFill="1" applyBorder="1" applyProtection="1">
      <protection hidden="1"/>
    </xf>
    <xf numFmtId="170" fontId="19" fillId="0" borderId="0" xfId="0" applyNumberFormat="1" applyFont="1" applyFill="1" applyBorder="1" applyProtection="1">
      <protection hidden="1"/>
    </xf>
    <xf numFmtId="0" fontId="20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5" fillId="0" borderId="0" xfId="0" applyFont="1" applyProtection="1">
      <protection hidden="1"/>
    </xf>
    <xf numFmtId="171" fontId="17" fillId="2" borderId="1" xfId="2" applyNumberFormat="1" applyFont="1" applyFill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vertical="center"/>
      <protection hidden="1"/>
    </xf>
    <xf numFmtId="2" fontId="18" fillId="4" borderId="1" xfId="0" applyNumberFormat="1" applyFont="1" applyFill="1" applyBorder="1" applyAlignment="1" applyProtection="1">
      <alignment horizontal="center" vertical="center"/>
      <protection hidden="1"/>
    </xf>
    <xf numFmtId="167" fontId="20" fillId="0" borderId="0" xfId="0" applyNumberFormat="1" applyFont="1" applyBorder="1" applyProtection="1">
      <protection hidden="1"/>
    </xf>
    <xf numFmtId="0" fontId="31" fillId="0" borderId="0" xfId="0" applyFont="1" applyBorder="1" applyAlignment="1" applyProtection="1">
      <protection hidden="1"/>
    </xf>
    <xf numFmtId="0" fontId="19" fillId="5" borderId="1" xfId="0" applyFont="1" applyFill="1" applyBorder="1" applyProtection="1">
      <protection hidden="1"/>
    </xf>
    <xf numFmtId="167" fontId="20" fillId="5" borderId="1" xfId="0" applyNumberFormat="1" applyFont="1" applyFill="1" applyBorder="1" applyProtection="1">
      <protection hidden="1"/>
    </xf>
    <xf numFmtId="0" fontId="20" fillId="5" borderId="1" xfId="0" applyFont="1" applyFill="1" applyBorder="1" applyProtection="1">
      <protection hidden="1"/>
    </xf>
    <xf numFmtId="0" fontId="19" fillId="0" borderId="1" xfId="0" applyFont="1" applyFill="1" applyBorder="1" applyProtection="1">
      <protection hidden="1"/>
    </xf>
    <xf numFmtId="0" fontId="19" fillId="0" borderId="1" xfId="0" applyFont="1" applyBorder="1" applyProtection="1"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167" fontId="32" fillId="5" borderId="1" xfId="0" applyNumberFormat="1" applyFont="1" applyFill="1" applyBorder="1" applyAlignment="1" applyProtection="1">
      <alignment horizontal="center" vertical="center"/>
      <protection hidden="1"/>
    </xf>
    <xf numFmtId="0" fontId="32" fillId="5" borderId="1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Protection="1">
      <protection hidden="1"/>
    </xf>
    <xf numFmtId="0" fontId="32" fillId="0" borderId="1" xfId="0" applyFont="1" applyFill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/>
      <protection hidden="1"/>
    </xf>
    <xf numFmtId="169" fontId="32" fillId="0" borderId="1" xfId="0" applyNumberFormat="1" applyFont="1" applyFill="1" applyBorder="1" applyAlignment="1" applyProtection="1">
      <alignment horizontal="center" vertical="center"/>
      <protection hidden="1"/>
    </xf>
    <xf numFmtId="167" fontId="32" fillId="0" borderId="1" xfId="0" applyNumberFormat="1" applyFont="1" applyFill="1" applyBorder="1" applyAlignment="1" applyProtection="1">
      <alignment horizontal="center" vertical="center"/>
      <protection hidden="1"/>
    </xf>
    <xf numFmtId="172" fontId="32" fillId="0" borderId="1" xfId="0" applyNumberFormat="1" applyFont="1" applyBorder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173" fontId="32" fillId="0" borderId="1" xfId="0" applyNumberFormat="1" applyFont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167" fontId="32" fillId="5" borderId="1" xfId="0" applyNumberFormat="1" applyFont="1" applyFill="1" applyBorder="1" applyProtection="1">
      <protection hidden="1"/>
    </xf>
    <xf numFmtId="2" fontId="32" fillId="5" borderId="1" xfId="0" applyNumberFormat="1" applyFont="1" applyFill="1" applyBorder="1" applyAlignment="1" applyProtection="1">
      <alignment vertical="center"/>
      <protection hidden="1"/>
    </xf>
    <xf numFmtId="3" fontId="32" fillId="5" borderId="1" xfId="0" applyNumberFormat="1" applyFont="1" applyFill="1" applyBorder="1" applyAlignment="1" applyProtection="1">
      <alignment horizontal="center" vertical="center"/>
      <protection hidden="1"/>
    </xf>
    <xf numFmtId="0" fontId="32" fillId="0" borderId="1" xfId="0" applyFont="1" applyFill="1" applyBorder="1" applyAlignment="1" applyProtection="1">
      <alignment vertical="center"/>
      <protection hidden="1"/>
    </xf>
    <xf numFmtId="2" fontId="32" fillId="0" borderId="1" xfId="0" applyNumberFormat="1" applyFont="1" applyBorder="1" applyAlignment="1" applyProtection="1">
      <alignment vertical="center"/>
      <protection hidden="1"/>
    </xf>
    <xf numFmtId="167" fontId="32" fillId="0" borderId="1" xfId="0" applyNumberFormat="1" applyFont="1" applyBorder="1" applyAlignment="1" applyProtection="1">
      <alignment horizontal="center" vertical="center"/>
      <protection hidden="1"/>
    </xf>
    <xf numFmtId="169" fontId="32" fillId="0" borderId="1" xfId="0" applyNumberFormat="1" applyFont="1" applyBorder="1" applyAlignment="1" applyProtection="1">
      <alignment horizontal="center" vertical="center"/>
      <protection hidden="1"/>
    </xf>
    <xf numFmtId="0" fontId="32" fillId="0" borderId="0" xfId="0" applyFont="1"/>
    <xf numFmtId="0" fontId="32" fillId="0" borderId="0" xfId="0" applyFont="1" applyFill="1" applyBorder="1" applyAlignment="1" applyProtection="1">
      <alignment horizontal="right" vertical="center"/>
      <protection hidden="1"/>
    </xf>
    <xf numFmtId="1" fontId="32" fillId="0" borderId="1" xfId="0" applyNumberFormat="1" applyFont="1" applyBorder="1" applyAlignment="1" applyProtection="1">
      <alignment horizontal="center" vertical="center"/>
      <protection hidden="1"/>
    </xf>
    <xf numFmtId="172" fontId="32" fillId="0" borderId="1" xfId="0" applyNumberFormat="1" applyFont="1" applyBorder="1" applyProtection="1"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1" applyFont="1" applyFill="1" applyBorder="1" applyAlignment="1" applyProtection="1">
      <alignment vertical="center"/>
      <protection hidden="1"/>
    </xf>
    <xf numFmtId="167" fontId="32" fillId="0" borderId="1" xfId="0" applyNumberFormat="1" applyFont="1" applyFill="1" applyBorder="1" applyProtection="1">
      <protection hidden="1"/>
    </xf>
    <xf numFmtId="2" fontId="32" fillId="0" borderId="1" xfId="0" applyNumberFormat="1" applyFont="1" applyFill="1" applyBorder="1" applyAlignment="1" applyProtection="1">
      <alignment vertical="center"/>
      <protection hidden="1"/>
    </xf>
    <xf numFmtId="3" fontId="32" fillId="0" borderId="1" xfId="0" applyNumberFormat="1" applyFont="1" applyFill="1" applyBorder="1" applyAlignment="1" applyProtection="1">
      <alignment horizontal="center" vertical="center"/>
      <protection hidden="1"/>
    </xf>
    <xf numFmtId="0" fontId="32" fillId="0" borderId="1" xfId="0" applyFont="1" applyFill="1" applyBorder="1" applyProtection="1">
      <protection hidden="1"/>
    </xf>
    <xf numFmtId="2" fontId="32" fillId="0" borderId="1" xfId="0" applyNumberFormat="1" applyFont="1" applyFill="1" applyBorder="1" applyProtection="1">
      <protection hidden="1"/>
    </xf>
    <xf numFmtId="0" fontId="33" fillId="0" borderId="0" xfId="1" applyFont="1" applyFill="1" applyBorder="1" applyProtection="1">
      <protection hidden="1"/>
    </xf>
    <xf numFmtId="0" fontId="32" fillId="0" borderId="1" xfId="0" applyFont="1" applyFill="1" applyBorder="1" applyAlignment="1" applyProtection="1">
      <alignment horizontal="left"/>
      <protection hidden="1"/>
    </xf>
    <xf numFmtId="0" fontId="32" fillId="0" borderId="1" xfId="0" applyFont="1" applyFill="1" applyBorder="1" applyAlignment="1" applyProtection="1">
      <alignment horizontal="center"/>
      <protection hidden="1"/>
    </xf>
    <xf numFmtId="0" fontId="32" fillId="0" borderId="1" xfId="0" applyFont="1" applyFill="1" applyBorder="1" applyAlignment="1" applyProtection="1">
      <alignment horizontal="center" vertical="top"/>
      <protection hidden="1"/>
    </xf>
    <xf numFmtId="169" fontId="32" fillId="0" borderId="1" xfId="0" applyNumberFormat="1" applyFont="1" applyFill="1" applyBorder="1" applyAlignment="1" applyProtection="1">
      <alignment vertical="center"/>
      <protection hidden="1"/>
    </xf>
    <xf numFmtId="165" fontId="32" fillId="0" borderId="1" xfId="0" applyNumberFormat="1" applyFont="1" applyFill="1" applyBorder="1" applyAlignment="1" applyProtection="1">
      <alignment vertical="center"/>
      <protection hidden="1"/>
    </xf>
    <xf numFmtId="1" fontId="32" fillId="0" borderId="1" xfId="0" applyNumberFormat="1" applyFont="1" applyFill="1" applyBorder="1" applyAlignment="1" applyProtection="1">
      <alignment vertical="center"/>
      <protection hidden="1"/>
    </xf>
    <xf numFmtId="166" fontId="32" fillId="0" borderId="1" xfId="3" applyNumberFormat="1" applyFont="1" applyFill="1" applyBorder="1" applyAlignment="1" applyProtection="1">
      <alignment vertical="center"/>
      <protection hidden="1"/>
    </xf>
    <xf numFmtId="2" fontId="32" fillId="0" borderId="1" xfId="3" applyNumberFormat="1" applyFont="1" applyFill="1" applyBorder="1" applyAlignment="1" applyProtection="1">
      <alignment vertical="center"/>
      <protection hidden="1"/>
    </xf>
    <xf numFmtId="0" fontId="32" fillId="0" borderId="1" xfId="0" applyFont="1" applyBorder="1" applyProtection="1">
      <protection hidden="1"/>
    </xf>
    <xf numFmtId="2" fontId="32" fillId="0" borderId="1" xfId="0" applyNumberFormat="1" applyFont="1" applyBorder="1" applyProtection="1">
      <protection hidden="1"/>
    </xf>
    <xf numFmtId="0" fontId="32" fillId="0" borderId="0" xfId="0" applyFont="1" applyBorder="1" applyProtection="1">
      <protection hidden="1"/>
    </xf>
    <xf numFmtId="0" fontId="32" fillId="0" borderId="12" xfId="0" applyFont="1" applyFill="1" applyBorder="1" applyProtection="1">
      <protection hidden="1"/>
    </xf>
    <xf numFmtId="170" fontId="32" fillId="0" borderId="12" xfId="0" applyNumberFormat="1" applyFont="1" applyFill="1" applyBorder="1" applyProtection="1">
      <protection hidden="1"/>
    </xf>
    <xf numFmtId="2" fontId="32" fillId="0" borderId="12" xfId="0" applyNumberFormat="1" applyFont="1" applyFill="1" applyBorder="1" applyProtection="1">
      <protection hidden="1"/>
    </xf>
    <xf numFmtId="167" fontId="32" fillId="0" borderId="0" xfId="0" applyNumberFormat="1" applyFont="1" applyFill="1" applyBorder="1" applyProtection="1">
      <protection hidden="1"/>
    </xf>
    <xf numFmtId="170" fontId="32" fillId="0" borderId="1" xfId="0" applyNumberFormat="1" applyFont="1" applyFill="1" applyBorder="1" applyProtection="1">
      <protection hidden="1"/>
    </xf>
    <xf numFmtId="167" fontId="32" fillId="0" borderId="0" xfId="0" applyNumberFormat="1" applyFont="1" applyBorder="1" applyProtection="1">
      <protection hidden="1"/>
    </xf>
    <xf numFmtId="0" fontId="19" fillId="0" borderId="0" xfId="0" applyFont="1" applyAlignment="1">
      <alignment horizontal="center"/>
    </xf>
    <xf numFmtId="0" fontId="19" fillId="0" borderId="0" xfId="0" applyFont="1"/>
    <xf numFmtId="0" fontId="32" fillId="0" borderId="1" xfId="0" applyFont="1" applyFill="1" applyBorder="1" applyAlignment="1" applyProtection="1">
      <alignment horizontal="right" vertical="center"/>
      <protection hidden="1"/>
    </xf>
    <xf numFmtId="14" fontId="32" fillId="0" borderId="1" xfId="0" applyNumberFormat="1" applyFont="1" applyFill="1" applyBorder="1" applyAlignment="1" applyProtection="1">
      <alignment horizontal="center" vertical="center"/>
      <protection hidden="1"/>
    </xf>
    <xf numFmtId="168" fontId="32" fillId="0" borderId="1" xfId="2" applyNumberFormat="1" applyFont="1" applyFill="1" applyBorder="1" applyAlignment="1" applyProtection="1">
      <alignment horizontal="center" vertical="center"/>
      <protection hidden="1"/>
    </xf>
    <xf numFmtId="2" fontId="32" fillId="0" borderId="0" xfId="0" applyNumberFormat="1" applyFont="1" applyFill="1" applyBorder="1" applyAlignment="1" applyProtection="1">
      <alignment vertical="center"/>
      <protection hidden="1"/>
    </xf>
    <xf numFmtId="1" fontId="32" fillId="0" borderId="1" xfId="0" applyNumberFormat="1" applyFont="1" applyFill="1" applyBorder="1" applyAlignment="1" applyProtection="1">
      <alignment horizontal="center" vertical="center"/>
      <protection hidden="1"/>
    </xf>
    <xf numFmtId="2" fontId="32" fillId="0" borderId="1" xfId="0" applyNumberFormat="1" applyFont="1" applyFill="1" applyBorder="1" applyAlignment="1" applyProtection="1">
      <alignment horizontal="center" vertical="center"/>
      <protection hidden="1"/>
    </xf>
    <xf numFmtId="1" fontId="32" fillId="0" borderId="1" xfId="3" applyNumberFormat="1" applyFont="1" applyFill="1" applyBorder="1" applyAlignment="1" applyProtection="1">
      <alignment horizontal="center" vertical="center"/>
      <protection hidden="1"/>
    </xf>
    <xf numFmtId="0" fontId="39" fillId="0" borderId="0" xfId="0" applyFont="1"/>
    <xf numFmtId="0" fontId="40" fillId="0" borderId="0" xfId="0" applyFont="1"/>
    <xf numFmtId="174" fontId="17" fillId="2" borderId="1" xfId="2" applyNumberFormat="1" applyFont="1" applyFill="1" applyBorder="1" applyAlignment="1" applyProtection="1">
      <alignment horizontal="center" vertical="center"/>
      <protection locked="0"/>
    </xf>
    <xf numFmtId="169" fontId="18" fillId="3" borderId="1" xfId="0" applyNumberFormat="1" applyFont="1" applyFill="1" applyBorder="1" applyAlignment="1" applyProtection="1">
      <alignment horizontal="center" vertical="center"/>
      <protection hidden="1"/>
    </xf>
    <xf numFmtId="165" fontId="18" fillId="3" borderId="1" xfId="0" applyNumberFormat="1" applyFont="1" applyFill="1" applyBorder="1" applyAlignment="1" applyProtection="1">
      <alignment horizontal="center" vertical="center"/>
      <protection hidden="1"/>
    </xf>
    <xf numFmtId="169" fontId="18" fillId="2" borderId="1" xfId="0" applyNumberFormat="1" applyFont="1" applyFill="1" applyBorder="1" applyAlignment="1" applyProtection="1">
      <alignment vertical="center"/>
      <protection locked="0"/>
    </xf>
    <xf numFmtId="0" fontId="32" fillId="5" borderId="1" xfId="0" applyFont="1" applyFill="1" applyBorder="1" applyAlignment="1" applyProtection="1">
      <alignment horizontal="right" vertical="center"/>
      <protection hidden="1"/>
    </xf>
    <xf numFmtId="1" fontId="32" fillId="5" borderId="1" xfId="3" applyNumberFormat="1" applyFont="1" applyFill="1" applyBorder="1" applyAlignment="1" applyProtection="1">
      <alignment horizontal="center" vertical="center"/>
      <protection hidden="1"/>
    </xf>
    <xf numFmtId="175" fontId="18" fillId="3" borderId="1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4" fillId="0" borderId="0" xfId="1" applyBorder="1" applyAlignment="1" applyProtection="1">
      <protection hidden="1"/>
    </xf>
    <xf numFmtId="10" fontId="0" fillId="0" borderId="0" xfId="0" applyNumberFormat="1"/>
    <xf numFmtId="176" fontId="32" fillId="0" borderId="0" xfId="0" applyNumberFormat="1" applyFont="1" applyFill="1" applyBorder="1" applyAlignment="1" applyProtection="1">
      <alignment vertical="center"/>
      <protection hidden="1"/>
    </xf>
    <xf numFmtId="176" fontId="32" fillId="0" borderId="1" xfId="0" applyNumberFormat="1" applyFont="1" applyBorder="1" applyAlignment="1" applyProtection="1">
      <alignment vertical="center"/>
      <protection hidden="1"/>
    </xf>
    <xf numFmtId="176" fontId="18" fillId="3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0" fillId="0" borderId="14" xfId="0" applyBorder="1" applyAlignment="1">
      <alignment wrapText="1"/>
    </xf>
    <xf numFmtId="0" fontId="0" fillId="0" borderId="14" xfId="0" applyBorder="1" applyAlignment="1"/>
    <xf numFmtId="0" fontId="0" fillId="0" borderId="15" xfId="0" applyBorder="1" applyAlignment="1"/>
    <xf numFmtId="0" fontId="18" fillId="0" borderId="1" xfId="0" applyFont="1" applyBorder="1" applyAlignment="1" applyProtection="1">
      <alignment horizontal="right" vertical="center"/>
      <protection hidden="1"/>
    </xf>
    <xf numFmtId="0" fontId="17" fillId="0" borderId="1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18" fillId="0" borderId="0" xfId="0" applyFont="1" applyAlignment="1" applyProtection="1">
      <alignment vertical="center"/>
      <protection locked="0" hidden="1"/>
    </xf>
    <xf numFmtId="0" fontId="19" fillId="0" borderId="0" xfId="0" applyFont="1" applyProtection="1">
      <protection locked="0"/>
    </xf>
    <xf numFmtId="0" fontId="0" fillId="0" borderId="14" xfId="0" applyBorder="1" applyAlignment="1" applyProtection="1"/>
    <xf numFmtId="0" fontId="35" fillId="0" borderId="0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right" vertical="top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34" fillId="0" borderId="13" xfId="0" applyFont="1" applyBorder="1" applyAlignment="1" applyProtection="1">
      <alignment horizontal="center" vertical="center"/>
      <protection hidden="1"/>
    </xf>
    <xf numFmtId="0" fontId="34" fillId="0" borderId="14" xfId="0" applyFont="1" applyBorder="1" applyAlignment="1" applyProtection="1">
      <alignment horizontal="center" vertical="center"/>
      <protection hidden="1"/>
    </xf>
    <xf numFmtId="0" fontId="34" fillId="0" borderId="15" xfId="0" applyFont="1" applyBorder="1" applyAlignment="1" applyProtection="1">
      <alignment horizontal="center" vertical="center"/>
      <protection hidden="1"/>
    </xf>
    <xf numFmtId="2" fontId="36" fillId="2" borderId="16" xfId="0" applyNumberFormat="1" applyFont="1" applyFill="1" applyBorder="1" applyAlignment="1" applyProtection="1">
      <alignment horizontal="center" vertical="center"/>
      <protection hidden="1"/>
    </xf>
    <xf numFmtId="2" fontId="36" fillId="2" borderId="17" xfId="0" applyNumberFormat="1" applyFont="1" applyFill="1" applyBorder="1" applyAlignment="1" applyProtection="1">
      <alignment horizontal="center" vertical="center"/>
      <protection hidden="1"/>
    </xf>
    <xf numFmtId="2" fontId="36" fillId="2" borderId="11" xfId="0" applyNumberFormat="1" applyFont="1" applyFill="1" applyBorder="1" applyAlignment="1" applyProtection="1">
      <alignment horizontal="center" vertical="center"/>
      <protection hidden="1"/>
    </xf>
    <xf numFmtId="2" fontId="18" fillId="3" borderId="16" xfId="0" applyNumberFormat="1" applyFont="1" applyFill="1" applyBorder="1" applyAlignment="1" applyProtection="1">
      <alignment horizontal="center" vertical="center"/>
      <protection hidden="1"/>
    </xf>
    <xf numFmtId="2" fontId="18" fillId="3" borderId="17" xfId="0" applyNumberFormat="1" applyFont="1" applyFill="1" applyBorder="1" applyAlignment="1" applyProtection="1">
      <alignment horizontal="center" vertical="center"/>
      <protection hidden="1"/>
    </xf>
    <xf numFmtId="2" fontId="18" fillId="3" borderId="11" xfId="0" applyNumberFormat="1" applyFont="1" applyFill="1" applyBorder="1" applyAlignment="1" applyProtection="1">
      <alignment horizontal="center" vertical="center"/>
      <protection hidden="1"/>
    </xf>
    <xf numFmtId="14" fontId="17" fillId="2" borderId="16" xfId="0" applyNumberFormat="1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right" vertical="center"/>
      <protection hidden="1"/>
    </xf>
    <xf numFmtId="0" fontId="17" fillId="0" borderId="11" xfId="0" applyFont="1" applyBorder="1" applyAlignment="1" applyProtection="1">
      <alignment horizontal="right" vertical="center"/>
      <protection hidden="1"/>
    </xf>
    <xf numFmtId="0" fontId="18" fillId="0" borderId="16" xfId="0" applyFont="1" applyBorder="1" applyAlignment="1" applyProtection="1">
      <alignment horizontal="right" vertical="center"/>
      <protection hidden="1"/>
    </xf>
    <xf numFmtId="0" fontId="18" fillId="0" borderId="11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31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/>
      <protection hidden="1"/>
    </xf>
    <xf numFmtId="0" fontId="32" fillId="0" borderId="16" xfId="0" applyFont="1" applyFill="1" applyBorder="1" applyAlignment="1" applyProtection="1">
      <alignment horizontal="center"/>
      <protection hidden="1"/>
    </xf>
    <xf numFmtId="0" fontId="32" fillId="0" borderId="17" xfId="0" applyFont="1" applyFill="1" applyBorder="1" applyAlignment="1" applyProtection="1">
      <alignment horizontal="center"/>
      <protection hidden="1"/>
    </xf>
    <xf numFmtId="0" fontId="32" fillId="0" borderId="11" xfId="0" applyFont="1" applyFill="1" applyBorder="1" applyAlignment="1" applyProtection="1">
      <alignment horizontal="center"/>
      <protection hidden="1"/>
    </xf>
    <xf numFmtId="0" fontId="32" fillId="0" borderId="1" xfId="0" applyFont="1" applyFill="1" applyBorder="1" applyAlignment="1" applyProtection="1">
      <alignment horizontal="center"/>
      <protection hidden="1"/>
    </xf>
    <xf numFmtId="0" fontId="37" fillId="5" borderId="1" xfId="1" applyFont="1" applyFill="1" applyBorder="1" applyAlignment="1" applyProtection="1">
      <alignment horizontal="center" vertical="center"/>
      <protection hidden="1"/>
    </xf>
    <xf numFmtId="0" fontId="38" fillId="5" borderId="1" xfId="0" applyFont="1" applyFill="1" applyBorder="1" applyAlignment="1" applyProtection="1">
      <alignment horizontal="center" vertical="center"/>
      <protection hidden="1"/>
    </xf>
    <xf numFmtId="0" fontId="38" fillId="5" borderId="10" xfId="0" applyFont="1" applyFill="1" applyBorder="1" applyAlignment="1" applyProtection="1">
      <alignment horizontal="center" vertical="center"/>
      <protection hidden="1"/>
    </xf>
    <xf numFmtId="0" fontId="34" fillId="5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32" fillId="0" borderId="16" xfId="0" applyFont="1" applyFill="1" applyBorder="1" applyAlignment="1" applyProtection="1">
      <alignment horizontal="center" vertical="center"/>
      <protection hidden="1"/>
    </xf>
    <xf numFmtId="0" fontId="32" fillId="0" borderId="11" xfId="0" applyFont="1" applyFill="1" applyBorder="1" applyAlignment="1" applyProtection="1">
      <alignment horizontal="center" vertical="center"/>
      <protection hidden="1"/>
    </xf>
  </cellXfs>
  <cellStyles count="4">
    <cellStyle name="Komma" xfId="2" builtinId="3"/>
    <cellStyle name="Link" xfId="1" builtinId="8"/>
    <cellStyle name="Prozent" xfId="3" builtinId="5"/>
    <cellStyle name="Standard" xfId="0" builtinId="0"/>
  </cellStyles>
  <dxfs count="10"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Stichprobe</a:t>
            </a:r>
            <a:r>
              <a:rPr lang="de-AT" baseline="0"/>
              <a:t> chronologisch</a:t>
            </a:r>
            <a:br>
              <a:rPr lang="de-AT" baseline="0"/>
            </a:br>
            <a:r>
              <a:rPr lang="de-AT" baseline="0"/>
              <a:t>Samples chronological</a:t>
            </a:r>
            <a:r>
              <a:rPr lang="de-AT"/>
              <a:t>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17054417818163184"/>
          <c:w val="0.7284466224698003"/>
          <c:h val="0.65207297840481437"/>
        </c:manualLayout>
      </c:layout>
      <c:scatterChart>
        <c:scatterStyle val="lineMarker"/>
        <c:varyColors val="0"/>
        <c:ser>
          <c:idx val="1"/>
          <c:order val="0"/>
          <c:tx>
            <c:strRef>
              <c:f>Berechnung!$AG$4</c:f>
              <c:strCache>
                <c:ptCount val="1"/>
                <c:pt idx="0">
                  <c:v>USL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Berechnung!$AG$5:$AG$204</c:f>
              <c:numCache>
                <c:formatCode>General</c:formatCode>
                <c:ptCount val="20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12</c:v>
                </c:pt>
                <c:pt idx="169">
                  <c:v>12</c:v>
                </c:pt>
                <c:pt idx="170">
                  <c:v>12</c:v>
                </c:pt>
                <c:pt idx="171">
                  <c:v>12</c:v>
                </c:pt>
                <c:pt idx="172">
                  <c:v>12</c:v>
                </c:pt>
                <c:pt idx="173">
                  <c:v>12</c:v>
                </c:pt>
                <c:pt idx="174">
                  <c:v>12</c:v>
                </c:pt>
                <c:pt idx="175">
                  <c:v>12</c:v>
                </c:pt>
                <c:pt idx="176">
                  <c:v>12</c:v>
                </c:pt>
                <c:pt idx="177">
                  <c:v>12</c:v>
                </c:pt>
                <c:pt idx="178">
                  <c:v>12</c:v>
                </c:pt>
                <c:pt idx="179">
                  <c:v>12</c:v>
                </c:pt>
                <c:pt idx="180">
                  <c:v>12</c:v>
                </c:pt>
                <c:pt idx="181">
                  <c:v>12</c:v>
                </c:pt>
                <c:pt idx="182">
                  <c:v>12</c:v>
                </c:pt>
                <c:pt idx="183">
                  <c:v>12</c:v>
                </c:pt>
                <c:pt idx="184">
                  <c:v>12</c:v>
                </c:pt>
                <c:pt idx="185">
                  <c:v>12</c:v>
                </c:pt>
                <c:pt idx="186">
                  <c:v>12</c:v>
                </c:pt>
                <c:pt idx="187">
                  <c:v>12</c:v>
                </c:pt>
                <c:pt idx="188">
                  <c:v>12</c:v>
                </c:pt>
                <c:pt idx="189">
                  <c:v>12</c:v>
                </c:pt>
                <c:pt idx="190">
                  <c:v>12</c:v>
                </c:pt>
                <c:pt idx="191">
                  <c:v>12</c:v>
                </c:pt>
                <c:pt idx="192">
                  <c:v>12</c:v>
                </c:pt>
                <c:pt idx="193">
                  <c:v>12</c:v>
                </c:pt>
                <c:pt idx="194">
                  <c:v>12</c:v>
                </c:pt>
                <c:pt idx="195">
                  <c:v>12</c:v>
                </c:pt>
                <c:pt idx="196">
                  <c:v>12</c:v>
                </c:pt>
                <c:pt idx="197">
                  <c:v>12</c:v>
                </c:pt>
                <c:pt idx="198">
                  <c:v>12</c:v>
                </c:pt>
                <c:pt idx="199">
                  <c:v>12</c:v>
                </c:pt>
              </c:numCache>
            </c:numRef>
          </c:yVal>
          <c:smooth val="0"/>
        </c:ser>
        <c:ser>
          <c:idx val="9"/>
          <c:order val="1"/>
          <c:tx>
            <c:strRef>
              <c:f>Berechnung!$AN$4</c:f>
              <c:strCache>
                <c:ptCount val="1"/>
                <c:pt idx="0">
                  <c:v> + 3 Sigma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Berechnung!$AN$5:$AN$204</c:f>
              <c:numCache>
                <c:formatCode>0.00</c:formatCode>
                <c:ptCount val="200"/>
                <c:pt idx="0">
                  <c:v>10.883642311423325</c:v>
                </c:pt>
                <c:pt idx="1">
                  <c:v>10.883642311423325</c:v>
                </c:pt>
                <c:pt idx="2">
                  <c:v>10.883642311423325</c:v>
                </c:pt>
                <c:pt idx="3">
                  <c:v>10.883642311423325</c:v>
                </c:pt>
                <c:pt idx="4">
                  <c:v>10.883642311423325</c:v>
                </c:pt>
                <c:pt idx="5">
                  <c:v>10.883642311423325</c:v>
                </c:pt>
                <c:pt idx="6">
                  <c:v>10.883642311423325</c:v>
                </c:pt>
                <c:pt idx="7">
                  <c:v>10.883642311423325</c:v>
                </c:pt>
                <c:pt idx="8">
                  <c:v>10.883642311423325</c:v>
                </c:pt>
                <c:pt idx="9">
                  <c:v>10.883642311423325</c:v>
                </c:pt>
                <c:pt idx="10">
                  <c:v>10.883642311423325</c:v>
                </c:pt>
                <c:pt idx="11">
                  <c:v>10.883642311423325</c:v>
                </c:pt>
                <c:pt idx="12">
                  <c:v>10.883642311423325</c:v>
                </c:pt>
                <c:pt idx="13">
                  <c:v>10.883642311423325</c:v>
                </c:pt>
                <c:pt idx="14">
                  <c:v>10.883642311423325</c:v>
                </c:pt>
                <c:pt idx="15">
                  <c:v>10.883642311423325</c:v>
                </c:pt>
                <c:pt idx="16">
                  <c:v>10.883642311423325</c:v>
                </c:pt>
                <c:pt idx="17">
                  <c:v>10.883642311423325</c:v>
                </c:pt>
                <c:pt idx="18">
                  <c:v>10.883642311423325</c:v>
                </c:pt>
                <c:pt idx="19">
                  <c:v>10.883642311423325</c:v>
                </c:pt>
                <c:pt idx="20">
                  <c:v>10.883642311423325</c:v>
                </c:pt>
                <c:pt idx="21">
                  <c:v>10.883642311423325</c:v>
                </c:pt>
                <c:pt idx="22">
                  <c:v>10.883642311423325</c:v>
                </c:pt>
                <c:pt idx="23">
                  <c:v>10.883642311423325</c:v>
                </c:pt>
                <c:pt idx="24">
                  <c:v>10.883642311423325</c:v>
                </c:pt>
                <c:pt idx="25">
                  <c:v>10.883642311423325</c:v>
                </c:pt>
                <c:pt idx="26">
                  <c:v>10.883642311423325</c:v>
                </c:pt>
                <c:pt idx="27">
                  <c:v>10.883642311423325</c:v>
                </c:pt>
                <c:pt idx="28">
                  <c:v>10.883642311423325</c:v>
                </c:pt>
                <c:pt idx="29">
                  <c:v>10.883642311423325</c:v>
                </c:pt>
                <c:pt idx="30">
                  <c:v>10.883642311423325</c:v>
                </c:pt>
                <c:pt idx="31">
                  <c:v>10.883642311423325</c:v>
                </c:pt>
                <c:pt idx="32">
                  <c:v>10.883642311423325</c:v>
                </c:pt>
                <c:pt idx="33">
                  <c:v>10.883642311423325</c:v>
                </c:pt>
                <c:pt idx="34">
                  <c:v>10.883642311423325</c:v>
                </c:pt>
                <c:pt idx="35">
                  <c:v>10.883642311423325</c:v>
                </c:pt>
                <c:pt idx="36">
                  <c:v>10.883642311423325</c:v>
                </c:pt>
                <c:pt idx="37">
                  <c:v>10.883642311423325</c:v>
                </c:pt>
                <c:pt idx="38">
                  <c:v>10.883642311423325</c:v>
                </c:pt>
                <c:pt idx="39">
                  <c:v>10.883642311423325</c:v>
                </c:pt>
                <c:pt idx="40">
                  <c:v>10.883642311423325</c:v>
                </c:pt>
                <c:pt idx="41">
                  <c:v>10.883642311423325</c:v>
                </c:pt>
                <c:pt idx="42">
                  <c:v>10.883642311423325</c:v>
                </c:pt>
                <c:pt idx="43">
                  <c:v>10.883642311423325</c:v>
                </c:pt>
                <c:pt idx="44">
                  <c:v>10.883642311423325</c:v>
                </c:pt>
                <c:pt idx="45">
                  <c:v>10.883642311423325</c:v>
                </c:pt>
                <c:pt idx="46">
                  <c:v>10.883642311423325</c:v>
                </c:pt>
                <c:pt idx="47">
                  <c:v>10.883642311423325</c:v>
                </c:pt>
                <c:pt idx="48">
                  <c:v>10.883642311423325</c:v>
                </c:pt>
                <c:pt idx="49">
                  <c:v>10.883642311423325</c:v>
                </c:pt>
                <c:pt idx="50">
                  <c:v>10.883642311423325</c:v>
                </c:pt>
                <c:pt idx="51">
                  <c:v>10.883642311423325</c:v>
                </c:pt>
                <c:pt idx="52">
                  <c:v>10.883642311423325</c:v>
                </c:pt>
                <c:pt idx="53">
                  <c:v>10.883642311423325</c:v>
                </c:pt>
                <c:pt idx="54">
                  <c:v>10.883642311423325</c:v>
                </c:pt>
                <c:pt idx="55">
                  <c:v>10.883642311423325</c:v>
                </c:pt>
                <c:pt idx="56">
                  <c:v>10.883642311423325</c:v>
                </c:pt>
                <c:pt idx="57">
                  <c:v>10.883642311423325</c:v>
                </c:pt>
                <c:pt idx="58">
                  <c:v>10.883642311423325</c:v>
                </c:pt>
                <c:pt idx="59">
                  <c:v>10.883642311423325</c:v>
                </c:pt>
                <c:pt idx="60">
                  <c:v>10.883642311423325</c:v>
                </c:pt>
                <c:pt idx="61">
                  <c:v>10.883642311423325</c:v>
                </c:pt>
                <c:pt idx="62">
                  <c:v>10.883642311423325</c:v>
                </c:pt>
                <c:pt idx="63">
                  <c:v>10.883642311423325</c:v>
                </c:pt>
                <c:pt idx="64">
                  <c:v>10.883642311423325</c:v>
                </c:pt>
                <c:pt idx="65">
                  <c:v>10.883642311423325</c:v>
                </c:pt>
                <c:pt idx="66">
                  <c:v>10.883642311423325</c:v>
                </c:pt>
                <c:pt idx="67">
                  <c:v>10.883642311423325</c:v>
                </c:pt>
                <c:pt idx="68">
                  <c:v>10.883642311423325</c:v>
                </c:pt>
                <c:pt idx="69">
                  <c:v>10.883642311423325</c:v>
                </c:pt>
                <c:pt idx="70">
                  <c:v>10.883642311423325</c:v>
                </c:pt>
                <c:pt idx="71">
                  <c:v>10.883642311423325</c:v>
                </c:pt>
                <c:pt idx="72">
                  <c:v>10.883642311423325</c:v>
                </c:pt>
                <c:pt idx="73">
                  <c:v>10.883642311423325</c:v>
                </c:pt>
                <c:pt idx="74">
                  <c:v>10.883642311423325</c:v>
                </c:pt>
                <c:pt idx="75">
                  <c:v>10.883642311423325</c:v>
                </c:pt>
                <c:pt idx="76">
                  <c:v>10.883642311423325</c:v>
                </c:pt>
                <c:pt idx="77">
                  <c:v>10.883642311423325</c:v>
                </c:pt>
                <c:pt idx="78">
                  <c:v>10.883642311423325</c:v>
                </c:pt>
                <c:pt idx="79">
                  <c:v>10.883642311423325</c:v>
                </c:pt>
                <c:pt idx="80">
                  <c:v>10.883642311423325</c:v>
                </c:pt>
                <c:pt idx="81">
                  <c:v>10.883642311423325</c:v>
                </c:pt>
                <c:pt idx="82">
                  <c:v>10.883642311423325</c:v>
                </c:pt>
                <c:pt idx="83">
                  <c:v>10.883642311423325</c:v>
                </c:pt>
                <c:pt idx="84">
                  <c:v>10.883642311423325</c:v>
                </c:pt>
                <c:pt idx="85">
                  <c:v>10.883642311423325</c:v>
                </c:pt>
                <c:pt idx="86">
                  <c:v>10.883642311423325</c:v>
                </c:pt>
                <c:pt idx="87">
                  <c:v>10.883642311423325</c:v>
                </c:pt>
                <c:pt idx="88">
                  <c:v>10.883642311423325</c:v>
                </c:pt>
                <c:pt idx="89">
                  <c:v>10.883642311423325</c:v>
                </c:pt>
                <c:pt idx="90">
                  <c:v>10.883642311423325</c:v>
                </c:pt>
                <c:pt idx="91">
                  <c:v>10.883642311423325</c:v>
                </c:pt>
                <c:pt idx="92">
                  <c:v>10.883642311423325</c:v>
                </c:pt>
                <c:pt idx="93">
                  <c:v>10.883642311423325</c:v>
                </c:pt>
                <c:pt idx="94">
                  <c:v>10.883642311423325</c:v>
                </c:pt>
                <c:pt idx="95">
                  <c:v>10.883642311423325</c:v>
                </c:pt>
                <c:pt idx="96">
                  <c:v>10.883642311423325</c:v>
                </c:pt>
                <c:pt idx="97">
                  <c:v>10.883642311423325</c:v>
                </c:pt>
                <c:pt idx="98">
                  <c:v>10.883642311423325</c:v>
                </c:pt>
                <c:pt idx="99">
                  <c:v>10.883642311423325</c:v>
                </c:pt>
                <c:pt idx="100">
                  <c:v>10.883642311423325</c:v>
                </c:pt>
                <c:pt idx="101">
                  <c:v>10.883642311423325</c:v>
                </c:pt>
                <c:pt idx="102">
                  <c:v>10.883642311423325</c:v>
                </c:pt>
                <c:pt idx="103">
                  <c:v>10.883642311423325</c:v>
                </c:pt>
                <c:pt idx="104">
                  <c:v>10.883642311423325</c:v>
                </c:pt>
                <c:pt idx="105">
                  <c:v>10.883642311423325</c:v>
                </c:pt>
                <c:pt idx="106">
                  <c:v>10.883642311423325</c:v>
                </c:pt>
                <c:pt idx="107">
                  <c:v>10.883642311423325</c:v>
                </c:pt>
                <c:pt idx="108">
                  <c:v>10.883642311423325</c:v>
                </c:pt>
                <c:pt idx="109">
                  <c:v>10.883642311423325</c:v>
                </c:pt>
                <c:pt idx="110">
                  <c:v>10.883642311423325</c:v>
                </c:pt>
                <c:pt idx="111">
                  <c:v>10.883642311423325</c:v>
                </c:pt>
                <c:pt idx="112">
                  <c:v>10.883642311423325</c:v>
                </c:pt>
                <c:pt idx="113">
                  <c:v>10.883642311423325</c:v>
                </c:pt>
                <c:pt idx="114">
                  <c:v>10.883642311423325</c:v>
                </c:pt>
                <c:pt idx="115">
                  <c:v>10.883642311423325</c:v>
                </c:pt>
                <c:pt idx="116">
                  <c:v>10.883642311423325</c:v>
                </c:pt>
                <c:pt idx="117">
                  <c:v>10.883642311423325</c:v>
                </c:pt>
                <c:pt idx="118">
                  <c:v>10.883642311423325</c:v>
                </c:pt>
                <c:pt idx="119">
                  <c:v>10.883642311423325</c:v>
                </c:pt>
                <c:pt idx="120">
                  <c:v>10.883642311423325</c:v>
                </c:pt>
                <c:pt idx="121">
                  <c:v>10.883642311423325</c:v>
                </c:pt>
                <c:pt idx="122">
                  <c:v>10.883642311423325</c:v>
                </c:pt>
                <c:pt idx="123">
                  <c:v>10.883642311423325</c:v>
                </c:pt>
                <c:pt idx="124">
                  <c:v>10.883642311423325</c:v>
                </c:pt>
                <c:pt idx="125">
                  <c:v>10.883642311423325</c:v>
                </c:pt>
                <c:pt idx="126">
                  <c:v>10.883642311423325</c:v>
                </c:pt>
                <c:pt idx="127">
                  <c:v>10.883642311423325</c:v>
                </c:pt>
                <c:pt idx="128">
                  <c:v>10.883642311423325</c:v>
                </c:pt>
                <c:pt idx="129">
                  <c:v>10.883642311423325</c:v>
                </c:pt>
                <c:pt idx="130">
                  <c:v>10.883642311423325</c:v>
                </c:pt>
                <c:pt idx="131">
                  <c:v>10.883642311423325</c:v>
                </c:pt>
                <c:pt idx="132">
                  <c:v>10.883642311423325</c:v>
                </c:pt>
                <c:pt idx="133">
                  <c:v>10.883642311423325</c:v>
                </c:pt>
                <c:pt idx="134">
                  <c:v>10.883642311423325</c:v>
                </c:pt>
                <c:pt idx="135">
                  <c:v>10.883642311423325</c:v>
                </c:pt>
                <c:pt idx="136">
                  <c:v>10.883642311423325</c:v>
                </c:pt>
                <c:pt idx="137">
                  <c:v>10.883642311423325</c:v>
                </c:pt>
                <c:pt idx="138">
                  <c:v>10.883642311423325</c:v>
                </c:pt>
                <c:pt idx="139">
                  <c:v>10.883642311423325</c:v>
                </c:pt>
                <c:pt idx="140">
                  <c:v>10.883642311423325</c:v>
                </c:pt>
                <c:pt idx="141">
                  <c:v>10.883642311423325</c:v>
                </c:pt>
                <c:pt idx="142">
                  <c:v>10.883642311423325</c:v>
                </c:pt>
                <c:pt idx="143">
                  <c:v>10.883642311423325</c:v>
                </c:pt>
                <c:pt idx="144">
                  <c:v>10.883642311423325</c:v>
                </c:pt>
                <c:pt idx="145">
                  <c:v>10.883642311423325</c:v>
                </c:pt>
                <c:pt idx="146">
                  <c:v>10.883642311423325</c:v>
                </c:pt>
                <c:pt idx="147">
                  <c:v>10.883642311423325</c:v>
                </c:pt>
                <c:pt idx="148">
                  <c:v>10.883642311423325</c:v>
                </c:pt>
                <c:pt idx="149">
                  <c:v>10.883642311423325</c:v>
                </c:pt>
                <c:pt idx="150">
                  <c:v>10.883642311423325</c:v>
                </c:pt>
                <c:pt idx="151">
                  <c:v>10.883642311423325</c:v>
                </c:pt>
                <c:pt idx="152">
                  <c:v>10.883642311423325</c:v>
                </c:pt>
                <c:pt idx="153">
                  <c:v>10.883642311423325</c:v>
                </c:pt>
                <c:pt idx="154">
                  <c:v>10.883642311423325</c:v>
                </c:pt>
                <c:pt idx="155">
                  <c:v>10.883642311423325</c:v>
                </c:pt>
                <c:pt idx="156">
                  <c:v>10.883642311423325</c:v>
                </c:pt>
                <c:pt idx="157">
                  <c:v>10.883642311423325</c:v>
                </c:pt>
                <c:pt idx="158">
                  <c:v>10.883642311423325</c:v>
                </c:pt>
                <c:pt idx="159">
                  <c:v>10.883642311423325</c:v>
                </c:pt>
                <c:pt idx="160">
                  <c:v>10.883642311423325</c:v>
                </c:pt>
                <c:pt idx="161">
                  <c:v>10.883642311423325</c:v>
                </c:pt>
                <c:pt idx="162">
                  <c:v>10.883642311423325</c:v>
                </c:pt>
                <c:pt idx="163">
                  <c:v>10.883642311423325</c:v>
                </c:pt>
                <c:pt idx="164">
                  <c:v>10.883642311423325</c:v>
                </c:pt>
                <c:pt idx="165">
                  <c:v>10.883642311423325</c:v>
                </c:pt>
                <c:pt idx="166">
                  <c:v>10.883642311423325</c:v>
                </c:pt>
                <c:pt idx="167">
                  <c:v>10.883642311423325</c:v>
                </c:pt>
                <c:pt idx="168">
                  <c:v>10.883642311423325</c:v>
                </c:pt>
                <c:pt idx="169">
                  <c:v>10.883642311423325</c:v>
                </c:pt>
                <c:pt idx="170">
                  <c:v>10.883642311423325</c:v>
                </c:pt>
                <c:pt idx="171">
                  <c:v>10.883642311423325</c:v>
                </c:pt>
                <c:pt idx="172">
                  <c:v>10.883642311423325</c:v>
                </c:pt>
                <c:pt idx="173">
                  <c:v>10.883642311423325</c:v>
                </c:pt>
                <c:pt idx="174">
                  <c:v>10.883642311423325</c:v>
                </c:pt>
                <c:pt idx="175">
                  <c:v>10.883642311423325</c:v>
                </c:pt>
                <c:pt idx="176">
                  <c:v>10.883642311423325</c:v>
                </c:pt>
                <c:pt idx="177">
                  <c:v>10.883642311423325</c:v>
                </c:pt>
                <c:pt idx="178">
                  <c:v>10.883642311423325</c:v>
                </c:pt>
                <c:pt idx="179">
                  <c:v>10.883642311423325</c:v>
                </c:pt>
                <c:pt idx="180">
                  <c:v>10.883642311423325</c:v>
                </c:pt>
                <c:pt idx="181">
                  <c:v>10.883642311423325</c:v>
                </c:pt>
                <c:pt idx="182">
                  <c:v>10.883642311423325</c:v>
                </c:pt>
                <c:pt idx="183">
                  <c:v>10.883642311423325</c:v>
                </c:pt>
                <c:pt idx="184">
                  <c:v>10.883642311423325</c:v>
                </c:pt>
                <c:pt idx="185">
                  <c:v>10.883642311423325</c:v>
                </c:pt>
                <c:pt idx="186">
                  <c:v>10.883642311423325</c:v>
                </c:pt>
                <c:pt idx="187">
                  <c:v>10.883642311423325</c:v>
                </c:pt>
                <c:pt idx="188">
                  <c:v>10.883642311423325</c:v>
                </c:pt>
                <c:pt idx="189">
                  <c:v>10.883642311423325</c:v>
                </c:pt>
                <c:pt idx="190">
                  <c:v>10.883642311423325</c:v>
                </c:pt>
                <c:pt idx="191">
                  <c:v>10.883642311423325</c:v>
                </c:pt>
                <c:pt idx="192">
                  <c:v>10.883642311423325</c:v>
                </c:pt>
                <c:pt idx="193">
                  <c:v>10.883642311423325</c:v>
                </c:pt>
                <c:pt idx="194">
                  <c:v>10.883642311423325</c:v>
                </c:pt>
                <c:pt idx="195">
                  <c:v>10.883642311423325</c:v>
                </c:pt>
                <c:pt idx="196">
                  <c:v>10.883642311423325</c:v>
                </c:pt>
                <c:pt idx="197">
                  <c:v>10.883642311423325</c:v>
                </c:pt>
                <c:pt idx="198">
                  <c:v>10.883642311423325</c:v>
                </c:pt>
                <c:pt idx="199">
                  <c:v>10.883642311423325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Berechnung!$AL$4</c:f>
              <c:strCache>
                <c:ptCount val="1"/>
                <c:pt idx="0">
                  <c:v> + 2 Sigma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Berechnung!$AL$5:$AL$204</c:f>
              <c:numCache>
                <c:formatCode>0.00</c:formatCode>
                <c:ptCount val="200"/>
                <c:pt idx="0">
                  <c:v>10.757428207615549</c:v>
                </c:pt>
                <c:pt idx="1">
                  <c:v>10.757428207615549</c:v>
                </c:pt>
                <c:pt idx="2">
                  <c:v>10.757428207615549</c:v>
                </c:pt>
                <c:pt idx="3">
                  <c:v>10.757428207615549</c:v>
                </c:pt>
                <c:pt idx="4">
                  <c:v>10.757428207615549</c:v>
                </c:pt>
                <c:pt idx="5">
                  <c:v>10.757428207615549</c:v>
                </c:pt>
                <c:pt idx="6">
                  <c:v>10.757428207615549</c:v>
                </c:pt>
                <c:pt idx="7">
                  <c:v>10.757428207615549</c:v>
                </c:pt>
                <c:pt idx="8">
                  <c:v>10.757428207615549</c:v>
                </c:pt>
                <c:pt idx="9">
                  <c:v>10.757428207615549</c:v>
                </c:pt>
                <c:pt idx="10">
                  <c:v>10.757428207615549</c:v>
                </c:pt>
                <c:pt idx="11">
                  <c:v>10.757428207615549</c:v>
                </c:pt>
                <c:pt idx="12">
                  <c:v>10.757428207615549</c:v>
                </c:pt>
                <c:pt idx="13">
                  <c:v>10.757428207615549</c:v>
                </c:pt>
                <c:pt idx="14">
                  <c:v>10.757428207615549</c:v>
                </c:pt>
                <c:pt idx="15">
                  <c:v>10.757428207615549</c:v>
                </c:pt>
                <c:pt idx="16">
                  <c:v>10.757428207615549</c:v>
                </c:pt>
                <c:pt idx="17">
                  <c:v>10.757428207615549</c:v>
                </c:pt>
                <c:pt idx="18">
                  <c:v>10.757428207615549</c:v>
                </c:pt>
                <c:pt idx="19">
                  <c:v>10.757428207615549</c:v>
                </c:pt>
                <c:pt idx="20">
                  <c:v>10.757428207615549</c:v>
                </c:pt>
                <c:pt idx="21">
                  <c:v>10.757428207615549</c:v>
                </c:pt>
                <c:pt idx="22">
                  <c:v>10.757428207615549</c:v>
                </c:pt>
                <c:pt idx="23">
                  <c:v>10.757428207615549</c:v>
                </c:pt>
                <c:pt idx="24">
                  <c:v>10.757428207615549</c:v>
                </c:pt>
                <c:pt idx="25">
                  <c:v>10.757428207615549</c:v>
                </c:pt>
                <c:pt idx="26">
                  <c:v>10.757428207615549</c:v>
                </c:pt>
                <c:pt idx="27">
                  <c:v>10.757428207615549</c:v>
                </c:pt>
                <c:pt idx="28">
                  <c:v>10.757428207615549</c:v>
                </c:pt>
                <c:pt idx="29">
                  <c:v>10.757428207615549</c:v>
                </c:pt>
                <c:pt idx="30">
                  <c:v>10.757428207615549</c:v>
                </c:pt>
                <c:pt idx="31">
                  <c:v>10.757428207615549</c:v>
                </c:pt>
                <c:pt idx="32">
                  <c:v>10.757428207615549</c:v>
                </c:pt>
                <c:pt idx="33">
                  <c:v>10.757428207615549</c:v>
                </c:pt>
                <c:pt idx="34">
                  <c:v>10.757428207615549</c:v>
                </c:pt>
                <c:pt idx="35">
                  <c:v>10.757428207615549</c:v>
                </c:pt>
                <c:pt idx="36">
                  <c:v>10.757428207615549</c:v>
                </c:pt>
                <c:pt idx="37">
                  <c:v>10.757428207615549</c:v>
                </c:pt>
                <c:pt idx="38">
                  <c:v>10.757428207615549</c:v>
                </c:pt>
                <c:pt idx="39">
                  <c:v>10.757428207615549</c:v>
                </c:pt>
                <c:pt idx="40">
                  <c:v>10.757428207615549</c:v>
                </c:pt>
                <c:pt idx="41">
                  <c:v>10.757428207615549</c:v>
                </c:pt>
                <c:pt idx="42">
                  <c:v>10.757428207615549</c:v>
                </c:pt>
                <c:pt idx="43">
                  <c:v>10.757428207615549</c:v>
                </c:pt>
                <c:pt idx="44">
                  <c:v>10.757428207615549</c:v>
                </c:pt>
                <c:pt idx="45">
                  <c:v>10.757428207615549</c:v>
                </c:pt>
                <c:pt idx="46">
                  <c:v>10.757428207615549</c:v>
                </c:pt>
                <c:pt idx="47">
                  <c:v>10.757428207615549</c:v>
                </c:pt>
                <c:pt idx="48">
                  <c:v>10.757428207615549</c:v>
                </c:pt>
                <c:pt idx="49">
                  <c:v>10.757428207615549</c:v>
                </c:pt>
                <c:pt idx="50">
                  <c:v>10.757428207615549</c:v>
                </c:pt>
                <c:pt idx="51">
                  <c:v>10.757428207615549</c:v>
                </c:pt>
                <c:pt idx="52">
                  <c:v>10.757428207615549</c:v>
                </c:pt>
                <c:pt idx="53">
                  <c:v>10.757428207615549</c:v>
                </c:pt>
                <c:pt idx="54">
                  <c:v>10.757428207615549</c:v>
                </c:pt>
                <c:pt idx="55">
                  <c:v>10.757428207615549</c:v>
                </c:pt>
                <c:pt idx="56">
                  <c:v>10.757428207615549</c:v>
                </c:pt>
                <c:pt idx="57">
                  <c:v>10.757428207615549</c:v>
                </c:pt>
                <c:pt idx="58">
                  <c:v>10.757428207615549</c:v>
                </c:pt>
                <c:pt idx="59">
                  <c:v>10.757428207615549</c:v>
                </c:pt>
                <c:pt idx="60">
                  <c:v>10.757428207615549</c:v>
                </c:pt>
                <c:pt idx="61">
                  <c:v>10.757428207615549</c:v>
                </c:pt>
                <c:pt idx="62">
                  <c:v>10.757428207615549</c:v>
                </c:pt>
                <c:pt idx="63">
                  <c:v>10.757428207615549</c:v>
                </c:pt>
                <c:pt idx="64">
                  <c:v>10.757428207615549</c:v>
                </c:pt>
                <c:pt idx="65">
                  <c:v>10.757428207615549</c:v>
                </c:pt>
                <c:pt idx="66">
                  <c:v>10.757428207615549</c:v>
                </c:pt>
                <c:pt idx="67">
                  <c:v>10.757428207615549</c:v>
                </c:pt>
                <c:pt idx="68">
                  <c:v>10.757428207615549</c:v>
                </c:pt>
                <c:pt idx="69">
                  <c:v>10.757428207615549</c:v>
                </c:pt>
                <c:pt idx="70">
                  <c:v>10.757428207615549</c:v>
                </c:pt>
                <c:pt idx="71">
                  <c:v>10.757428207615549</c:v>
                </c:pt>
                <c:pt idx="72">
                  <c:v>10.757428207615549</c:v>
                </c:pt>
                <c:pt idx="73">
                  <c:v>10.757428207615549</c:v>
                </c:pt>
                <c:pt idx="74">
                  <c:v>10.757428207615549</c:v>
                </c:pt>
                <c:pt idx="75">
                  <c:v>10.757428207615549</c:v>
                </c:pt>
                <c:pt idx="76">
                  <c:v>10.757428207615549</c:v>
                </c:pt>
                <c:pt idx="77">
                  <c:v>10.757428207615549</c:v>
                </c:pt>
                <c:pt idx="78">
                  <c:v>10.757428207615549</c:v>
                </c:pt>
                <c:pt idx="79">
                  <c:v>10.757428207615549</c:v>
                </c:pt>
                <c:pt idx="80">
                  <c:v>10.757428207615549</c:v>
                </c:pt>
                <c:pt idx="81">
                  <c:v>10.757428207615549</c:v>
                </c:pt>
                <c:pt idx="82">
                  <c:v>10.757428207615549</c:v>
                </c:pt>
                <c:pt idx="83">
                  <c:v>10.757428207615549</c:v>
                </c:pt>
                <c:pt idx="84">
                  <c:v>10.757428207615549</c:v>
                </c:pt>
                <c:pt idx="85">
                  <c:v>10.757428207615549</c:v>
                </c:pt>
                <c:pt idx="86">
                  <c:v>10.757428207615549</c:v>
                </c:pt>
                <c:pt idx="87">
                  <c:v>10.757428207615549</c:v>
                </c:pt>
                <c:pt idx="88">
                  <c:v>10.757428207615549</c:v>
                </c:pt>
                <c:pt idx="89">
                  <c:v>10.757428207615549</c:v>
                </c:pt>
                <c:pt idx="90">
                  <c:v>10.757428207615549</c:v>
                </c:pt>
                <c:pt idx="91">
                  <c:v>10.757428207615549</c:v>
                </c:pt>
                <c:pt idx="92">
                  <c:v>10.757428207615549</c:v>
                </c:pt>
                <c:pt idx="93">
                  <c:v>10.757428207615549</c:v>
                </c:pt>
                <c:pt idx="94">
                  <c:v>10.757428207615549</c:v>
                </c:pt>
                <c:pt idx="95">
                  <c:v>10.757428207615549</c:v>
                </c:pt>
                <c:pt idx="96">
                  <c:v>10.757428207615549</c:v>
                </c:pt>
                <c:pt idx="97">
                  <c:v>10.757428207615549</c:v>
                </c:pt>
                <c:pt idx="98">
                  <c:v>10.757428207615549</c:v>
                </c:pt>
                <c:pt idx="99">
                  <c:v>10.757428207615549</c:v>
                </c:pt>
                <c:pt idx="100">
                  <c:v>10.757428207615549</c:v>
                </c:pt>
                <c:pt idx="101">
                  <c:v>10.757428207615549</c:v>
                </c:pt>
                <c:pt idx="102">
                  <c:v>10.757428207615549</c:v>
                </c:pt>
                <c:pt idx="103">
                  <c:v>10.757428207615549</c:v>
                </c:pt>
                <c:pt idx="104">
                  <c:v>10.757428207615549</c:v>
                </c:pt>
                <c:pt idx="105">
                  <c:v>10.757428207615549</c:v>
                </c:pt>
                <c:pt idx="106">
                  <c:v>10.757428207615549</c:v>
                </c:pt>
                <c:pt idx="107">
                  <c:v>10.757428207615549</c:v>
                </c:pt>
                <c:pt idx="108">
                  <c:v>10.757428207615549</c:v>
                </c:pt>
                <c:pt idx="109">
                  <c:v>10.757428207615549</c:v>
                </c:pt>
                <c:pt idx="110">
                  <c:v>10.757428207615549</c:v>
                </c:pt>
                <c:pt idx="111">
                  <c:v>10.757428207615549</c:v>
                </c:pt>
                <c:pt idx="112">
                  <c:v>10.757428207615549</c:v>
                </c:pt>
                <c:pt idx="113">
                  <c:v>10.757428207615549</c:v>
                </c:pt>
                <c:pt idx="114">
                  <c:v>10.757428207615549</c:v>
                </c:pt>
                <c:pt idx="115">
                  <c:v>10.757428207615549</c:v>
                </c:pt>
                <c:pt idx="116">
                  <c:v>10.757428207615549</c:v>
                </c:pt>
                <c:pt idx="117">
                  <c:v>10.757428207615549</c:v>
                </c:pt>
                <c:pt idx="118">
                  <c:v>10.757428207615549</c:v>
                </c:pt>
                <c:pt idx="119">
                  <c:v>10.757428207615549</c:v>
                </c:pt>
                <c:pt idx="120">
                  <c:v>10.757428207615549</c:v>
                </c:pt>
                <c:pt idx="121">
                  <c:v>10.757428207615549</c:v>
                </c:pt>
                <c:pt idx="122">
                  <c:v>10.757428207615549</c:v>
                </c:pt>
                <c:pt idx="123">
                  <c:v>10.757428207615549</c:v>
                </c:pt>
                <c:pt idx="124">
                  <c:v>10.757428207615549</c:v>
                </c:pt>
                <c:pt idx="125">
                  <c:v>10.757428207615549</c:v>
                </c:pt>
                <c:pt idx="126">
                  <c:v>10.757428207615549</c:v>
                </c:pt>
                <c:pt idx="127">
                  <c:v>10.757428207615549</c:v>
                </c:pt>
                <c:pt idx="128">
                  <c:v>10.757428207615549</c:v>
                </c:pt>
                <c:pt idx="129">
                  <c:v>10.757428207615549</c:v>
                </c:pt>
                <c:pt idx="130">
                  <c:v>10.757428207615549</c:v>
                </c:pt>
                <c:pt idx="131">
                  <c:v>10.757428207615549</c:v>
                </c:pt>
                <c:pt idx="132">
                  <c:v>10.757428207615549</c:v>
                </c:pt>
                <c:pt idx="133">
                  <c:v>10.757428207615549</c:v>
                </c:pt>
                <c:pt idx="134">
                  <c:v>10.757428207615549</c:v>
                </c:pt>
                <c:pt idx="135">
                  <c:v>10.757428207615549</c:v>
                </c:pt>
                <c:pt idx="136">
                  <c:v>10.757428207615549</c:v>
                </c:pt>
                <c:pt idx="137">
                  <c:v>10.757428207615549</c:v>
                </c:pt>
                <c:pt idx="138">
                  <c:v>10.757428207615549</c:v>
                </c:pt>
                <c:pt idx="139">
                  <c:v>10.757428207615549</c:v>
                </c:pt>
                <c:pt idx="140">
                  <c:v>10.757428207615549</c:v>
                </c:pt>
                <c:pt idx="141">
                  <c:v>10.757428207615549</c:v>
                </c:pt>
                <c:pt idx="142">
                  <c:v>10.757428207615549</c:v>
                </c:pt>
                <c:pt idx="143">
                  <c:v>10.757428207615549</c:v>
                </c:pt>
                <c:pt idx="144">
                  <c:v>10.757428207615549</c:v>
                </c:pt>
                <c:pt idx="145">
                  <c:v>10.757428207615549</c:v>
                </c:pt>
                <c:pt idx="146">
                  <c:v>10.757428207615549</c:v>
                </c:pt>
                <c:pt idx="147">
                  <c:v>10.757428207615549</c:v>
                </c:pt>
                <c:pt idx="148">
                  <c:v>10.757428207615549</c:v>
                </c:pt>
                <c:pt idx="149">
                  <c:v>10.757428207615549</c:v>
                </c:pt>
                <c:pt idx="150">
                  <c:v>10.757428207615549</c:v>
                </c:pt>
                <c:pt idx="151">
                  <c:v>10.757428207615549</c:v>
                </c:pt>
                <c:pt idx="152">
                  <c:v>10.757428207615549</c:v>
                </c:pt>
                <c:pt idx="153">
                  <c:v>10.757428207615549</c:v>
                </c:pt>
                <c:pt idx="154">
                  <c:v>10.757428207615549</c:v>
                </c:pt>
                <c:pt idx="155">
                  <c:v>10.757428207615549</c:v>
                </c:pt>
                <c:pt idx="156">
                  <c:v>10.757428207615549</c:v>
                </c:pt>
                <c:pt idx="157">
                  <c:v>10.757428207615549</c:v>
                </c:pt>
                <c:pt idx="158">
                  <c:v>10.757428207615549</c:v>
                </c:pt>
                <c:pt idx="159">
                  <c:v>10.757428207615549</c:v>
                </c:pt>
                <c:pt idx="160">
                  <c:v>10.757428207615549</c:v>
                </c:pt>
                <c:pt idx="161">
                  <c:v>10.757428207615549</c:v>
                </c:pt>
                <c:pt idx="162">
                  <c:v>10.757428207615549</c:v>
                </c:pt>
                <c:pt idx="163">
                  <c:v>10.757428207615549</c:v>
                </c:pt>
                <c:pt idx="164">
                  <c:v>10.757428207615549</c:v>
                </c:pt>
                <c:pt idx="165">
                  <c:v>10.757428207615549</c:v>
                </c:pt>
                <c:pt idx="166">
                  <c:v>10.757428207615549</c:v>
                </c:pt>
                <c:pt idx="167">
                  <c:v>10.757428207615549</c:v>
                </c:pt>
                <c:pt idx="168">
                  <c:v>10.757428207615549</c:v>
                </c:pt>
                <c:pt idx="169">
                  <c:v>10.757428207615549</c:v>
                </c:pt>
                <c:pt idx="170">
                  <c:v>10.757428207615549</c:v>
                </c:pt>
                <c:pt idx="171">
                  <c:v>10.757428207615549</c:v>
                </c:pt>
                <c:pt idx="172">
                  <c:v>10.757428207615549</c:v>
                </c:pt>
                <c:pt idx="173">
                  <c:v>10.757428207615549</c:v>
                </c:pt>
                <c:pt idx="174">
                  <c:v>10.757428207615549</c:v>
                </c:pt>
                <c:pt idx="175">
                  <c:v>10.757428207615549</c:v>
                </c:pt>
                <c:pt idx="176">
                  <c:v>10.757428207615549</c:v>
                </c:pt>
                <c:pt idx="177">
                  <c:v>10.757428207615549</c:v>
                </c:pt>
                <c:pt idx="178">
                  <c:v>10.757428207615549</c:v>
                </c:pt>
                <c:pt idx="179">
                  <c:v>10.757428207615549</c:v>
                </c:pt>
                <c:pt idx="180">
                  <c:v>10.757428207615549</c:v>
                </c:pt>
                <c:pt idx="181">
                  <c:v>10.757428207615549</c:v>
                </c:pt>
                <c:pt idx="182">
                  <c:v>10.757428207615549</c:v>
                </c:pt>
                <c:pt idx="183">
                  <c:v>10.757428207615549</c:v>
                </c:pt>
                <c:pt idx="184">
                  <c:v>10.757428207615549</c:v>
                </c:pt>
                <c:pt idx="185">
                  <c:v>10.757428207615549</c:v>
                </c:pt>
                <c:pt idx="186">
                  <c:v>10.757428207615549</c:v>
                </c:pt>
                <c:pt idx="187">
                  <c:v>10.757428207615549</c:v>
                </c:pt>
                <c:pt idx="188">
                  <c:v>10.757428207615549</c:v>
                </c:pt>
                <c:pt idx="189">
                  <c:v>10.757428207615549</c:v>
                </c:pt>
                <c:pt idx="190">
                  <c:v>10.757428207615549</c:v>
                </c:pt>
                <c:pt idx="191">
                  <c:v>10.757428207615549</c:v>
                </c:pt>
                <c:pt idx="192">
                  <c:v>10.757428207615549</c:v>
                </c:pt>
                <c:pt idx="193">
                  <c:v>10.757428207615549</c:v>
                </c:pt>
                <c:pt idx="194">
                  <c:v>10.757428207615549</c:v>
                </c:pt>
                <c:pt idx="195">
                  <c:v>10.757428207615549</c:v>
                </c:pt>
                <c:pt idx="196">
                  <c:v>10.757428207615549</c:v>
                </c:pt>
                <c:pt idx="197">
                  <c:v>10.757428207615549</c:v>
                </c:pt>
                <c:pt idx="198">
                  <c:v>10.757428207615549</c:v>
                </c:pt>
                <c:pt idx="199">
                  <c:v>10.757428207615549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Berechnung!$P$6</c:f>
              <c:strCache>
                <c:ptCount val="1"/>
                <c:pt idx="0">
                  <c:v>Testmerkmal1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Berechnung!$AF$5:$AF$204</c:f>
              <c:numCache>
                <c:formatCode>General</c:formatCode>
                <c:ptCount val="200"/>
                <c:pt idx="0">
                  <c:v>10.5</c:v>
                </c:pt>
                <c:pt idx="1">
                  <c:v>10.4</c:v>
                </c:pt>
                <c:pt idx="2">
                  <c:v>10.6</c:v>
                </c:pt>
                <c:pt idx="3">
                  <c:v>10.4</c:v>
                </c:pt>
                <c:pt idx="4">
                  <c:v>10.5</c:v>
                </c:pt>
                <c:pt idx="5">
                  <c:v>10.5</c:v>
                </c:pt>
                <c:pt idx="6">
                  <c:v>10.4</c:v>
                </c:pt>
                <c:pt idx="7">
                  <c:v>10.3</c:v>
                </c:pt>
                <c:pt idx="8">
                  <c:v>10.5</c:v>
                </c:pt>
                <c:pt idx="9">
                  <c:v>10.6</c:v>
                </c:pt>
                <c:pt idx="10">
                  <c:v>10.4</c:v>
                </c:pt>
                <c:pt idx="11">
                  <c:v>10.5</c:v>
                </c:pt>
                <c:pt idx="12">
                  <c:v>10.7</c:v>
                </c:pt>
                <c:pt idx="13">
                  <c:v>10.5</c:v>
                </c:pt>
                <c:pt idx="14">
                  <c:v>10.8</c:v>
                </c:pt>
                <c:pt idx="15">
                  <c:v>10.6</c:v>
                </c:pt>
                <c:pt idx="16">
                  <c:v>10.6</c:v>
                </c:pt>
                <c:pt idx="17">
                  <c:v>10.5</c:v>
                </c:pt>
                <c:pt idx="18">
                  <c:v>10.3</c:v>
                </c:pt>
                <c:pt idx="19">
                  <c:v>10.4</c:v>
                </c:pt>
                <c:pt idx="20">
                  <c:v>10.4</c:v>
                </c:pt>
                <c:pt idx="21">
                  <c:v>10.6</c:v>
                </c:pt>
                <c:pt idx="22">
                  <c:v>10.7</c:v>
                </c:pt>
                <c:pt idx="23">
                  <c:v>10.6</c:v>
                </c:pt>
                <c:pt idx="24">
                  <c:v>10.5</c:v>
                </c:pt>
                <c:pt idx="25">
                  <c:v>10.33</c:v>
                </c:pt>
                <c:pt idx="26">
                  <c:v>10.33</c:v>
                </c:pt>
                <c:pt idx="27">
                  <c:v>10.33</c:v>
                </c:pt>
                <c:pt idx="28">
                  <c:v>10.33</c:v>
                </c:pt>
                <c:pt idx="29">
                  <c:v>10.33</c:v>
                </c:pt>
                <c:pt idx="30">
                  <c:v>10.33</c:v>
                </c:pt>
                <c:pt idx="31">
                  <c:v>10.33</c:v>
                </c:pt>
                <c:pt idx="32">
                  <c:v>10.33</c:v>
                </c:pt>
                <c:pt idx="33">
                  <c:v>10.33</c:v>
                </c:pt>
                <c:pt idx="34">
                  <c:v>10.33</c:v>
                </c:pt>
                <c:pt idx="35">
                  <c:v>10.33</c:v>
                </c:pt>
                <c:pt idx="36">
                  <c:v>10.33</c:v>
                </c:pt>
                <c:pt idx="37">
                  <c:v>10.33</c:v>
                </c:pt>
                <c:pt idx="38">
                  <c:v>10.33</c:v>
                </c:pt>
                <c:pt idx="39">
                  <c:v>10.33</c:v>
                </c:pt>
                <c:pt idx="40">
                  <c:v>10.33</c:v>
                </c:pt>
                <c:pt idx="41">
                  <c:v>10.33</c:v>
                </c:pt>
                <c:pt idx="42">
                  <c:v>10.33</c:v>
                </c:pt>
                <c:pt idx="43">
                  <c:v>10.33</c:v>
                </c:pt>
                <c:pt idx="44">
                  <c:v>10.33</c:v>
                </c:pt>
                <c:pt idx="45">
                  <c:v>10.33</c:v>
                </c:pt>
                <c:pt idx="46">
                  <c:v>10.33</c:v>
                </c:pt>
                <c:pt idx="47">
                  <c:v>10.33</c:v>
                </c:pt>
                <c:pt idx="48">
                  <c:v>10.33</c:v>
                </c:pt>
                <c:pt idx="49">
                  <c:v>10.33</c:v>
                </c:pt>
                <c:pt idx="50">
                  <c:v>10.33</c:v>
                </c:pt>
                <c:pt idx="51">
                  <c:v>10.33</c:v>
                </c:pt>
                <c:pt idx="52">
                  <c:v>10.33</c:v>
                </c:pt>
                <c:pt idx="53">
                  <c:v>10.33</c:v>
                </c:pt>
                <c:pt idx="54">
                  <c:v>10.33</c:v>
                </c:pt>
                <c:pt idx="55">
                  <c:v>10.33</c:v>
                </c:pt>
                <c:pt idx="56">
                  <c:v>10.33</c:v>
                </c:pt>
                <c:pt idx="57">
                  <c:v>10.33</c:v>
                </c:pt>
                <c:pt idx="58">
                  <c:v>10.33</c:v>
                </c:pt>
                <c:pt idx="59">
                  <c:v>10.33</c:v>
                </c:pt>
                <c:pt idx="60">
                  <c:v>10.33</c:v>
                </c:pt>
                <c:pt idx="61">
                  <c:v>10.33</c:v>
                </c:pt>
                <c:pt idx="62">
                  <c:v>10.33</c:v>
                </c:pt>
                <c:pt idx="63">
                  <c:v>10.33</c:v>
                </c:pt>
                <c:pt idx="64">
                  <c:v>10.33</c:v>
                </c:pt>
                <c:pt idx="65">
                  <c:v>10.33</c:v>
                </c:pt>
                <c:pt idx="66">
                  <c:v>10.33</c:v>
                </c:pt>
                <c:pt idx="67">
                  <c:v>10.33</c:v>
                </c:pt>
                <c:pt idx="68">
                  <c:v>10.33</c:v>
                </c:pt>
                <c:pt idx="69">
                  <c:v>10.33</c:v>
                </c:pt>
                <c:pt idx="70">
                  <c:v>10.33</c:v>
                </c:pt>
                <c:pt idx="71">
                  <c:v>10.33</c:v>
                </c:pt>
                <c:pt idx="72">
                  <c:v>10.33</c:v>
                </c:pt>
                <c:pt idx="73">
                  <c:v>10.33</c:v>
                </c:pt>
                <c:pt idx="74">
                  <c:v>10.33</c:v>
                </c:pt>
                <c:pt idx="75">
                  <c:v>10.33</c:v>
                </c:pt>
                <c:pt idx="76">
                  <c:v>10.33</c:v>
                </c:pt>
                <c:pt idx="77">
                  <c:v>10.33</c:v>
                </c:pt>
                <c:pt idx="78">
                  <c:v>10.33</c:v>
                </c:pt>
                <c:pt idx="79">
                  <c:v>10.33</c:v>
                </c:pt>
                <c:pt idx="80">
                  <c:v>10.33</c:v>
                </c:pt>
                <c:pt idx="81">
                  <c:v>10.33</c:v>
                </c:pt>
                <c:pt idx="82">
                  <c:v>10.33</c:v>
                </c:pt>
                <c:pt idx="83">
                  <c:v>10.33</c:v>
                </c:pt>
                <c:pt idx="84">
                  <c:v>10.33</c:v>
                </c:pt>
                <c:pt idx="85">
                  <c:v>10.33</c:v>
                </c:pt>
                <c:pt idx="86">
                  <c:v>10.33</c:v>
                </c:pt>
                <c:pt idx="87">
                  <c:v>10.33</c:v>
                </c:pt>
                <c:pt idx="88">
                  <c:v>10.33</c:v>
                </c:pt>
                <c:pt idx="89">
                  <c:v>10.33</c:v>
                </c:pt>
                <c:pt idx="90">
                  <c:v>10.33</c:v>
                </c:pt>
                <c:pt idx="91">
                  <c:v>10.33</c:v>
                </c:pt>
                <c:pt idx="92">
                  <c:v>10.33</c:v>
                </c:pt>
                <c:pt idx="93">
                  <c:v>10.33</c:v>
                </c:pt>
                <c:pt idx="94">
                  <c:v>10.33</c:v>
                </c:pt>
                <c:pt idx="95">
                  <c:v>10.33</c:v>
                </c:pt>
                <c:pt idx="96">
                  <c:v>10.33</c:v>
                </c:pt>
                <c:pt idx="97">
                  <c:v>10.33</c:v>
                </c:pt>
                <c:pt idx="98">
                  <c:v>10.33</c:v>
                </c:pt>
                <c:pt idx="99">
                  <c:v>10.33</c:v>
                </c:pt>
                <c:pt idx="100">
                  <c:v>10.33</c:v>
                </c:pt>
                <c:pt idx="101">
                  <c:v>10.33</c:v>
                </c:pt>
                <c:pt idx="102">
                  <c:v>10.33</c:v>
                </c:pt>
                <c:pt idx="103">
                  <c:v>10.33</c:v>
                </c:pt>
                <c:pt idx="104">
                  <c:v>10.33</c:v>
                </c:pt>
                <c:pt idx="105">
                  <c:v>10.33</c:v>
                </c:pt>
                <c:pt idx="106">
                  <c:v>10.33</c:v>
                </c:pt>
                <c:pt idx="107">
                  <c:v>10.33</c:v>
                </c:pt>
                <c:pt idx="108">
                  <c:v>10.33</c:v>
                </c:pt>
                <c:pt idx="109">
                  <c:v>10.33</c:v>
                </c:pt>
                <c:pt idx="110">
                  <c:v>10.33</c:v>
                </c:pt>
                <c:pt idx="111">
                  <c:v>10.33</c:v>
                </c:pt>
                <c:pt idx="112">
                  <c:v>10.33</c:v>
                </c:pt>
                <c:pt idx="113">
                  <c:v>10.33</c:v>
                </c:pt>
                <c:pt idx="114">
                  <c:v>10.33</c:v>
                </c:pt>
                <c:pt idx="115">
                  <c:v>10.33</c:v>
                </c:pt>
                <c:pt idx="116">
                  <c:v>10.33</c:v>
                </c:pt>
                <c:pt idx="117">
                  <c:v>10.33</c:v>
                </c:pt>
                <c:pt idx="118">
                  <c:v>10.33</c:v>
                </c:pt>
                <c:pt idx="119">
                  <c:v>10.33</c:v>
                </c:pt>
                <c:pt idx="120">
                  <c:v>10.33</c:v>
                </c:pt>
                <c:pt idx="121">
                  <c:v>10.33</c:v>
                </c:pt>
                <c:pt idx="122">
                  <c:v>10.33</c:v>
                </c:pt>
                <c:pt idx="123">
                  <c:v>10.33</c:v>
                </c:pt>
                <c:pt idx="124">
                  <c:v>10.33</c:v>
                </c:pt>
                <c:pt idx="125">
                  <c:v>10.33</c:v>
                </c:pt>
                <c:pt idx="126">
                  <c:v>10.33</c:v>
                </c:pt>
                <c:pt idx="127">
                  <c:v>10.33</c:v>
                </c:pt>
                <c:pt idx="128">
                  <c:v>10.33</c:v>
                </c:pt>
                <c:pt idx="129">
                  <c:v>10.33</c:v>
                </c:pt>
                <c:pt idx="130">
                  <c:v>10.33</c:v>
                </c:pt>
                <c:pt idx="131">
                  <c:v>10.33</c:v>
                </c:pt>
                <c:pt idx="132">
                  <c:v>10.33</c:v>
                </c:pt>
                <c:pt idx="133">
                  <c:v>10.33</c:v>
                </c:pt>
                <c:pt idx="134">
                  <c:v>10.33</c:v>
                </c:pt>
                <c:pt idx="135">
                  <c:v>10.33</c:v>
                </c:pt>
                <c:pt idx="136">
                  <c:v>10.33</c:v>
                </c:pt>
                <c:pt idx="137">
                  <c:v>10.33</c:v>
                </c:pt>
                <c:pt idx="138">
                  <c:v>10.33</c:v>
                </c:pt>
                <c:pt idx="139">
                  <c:v>10.33</c:v>
                </c:pt>
                <c:pt idx="140">
                  <c:v>10.33</c:v>
                </c:pt>
                <c:pt idx="141">
                  <c:v>10.33</c:v>
                </c:pt>
                <c:pt idx="142">
                  <c:v>10.33</c:v>
                </c:pt>
                <c:pt idx="143">
                  <c:v>10.33</c:v>
                </c:pt>
                <c:pt idx="144">
                  <c:v>10.33</c:v>
                </c:pt>
                <c:pt idx="145">
                  <c:v>10.33</c:v>
                </c:pt>
                <c:pt idx="146">
                  <c:v>10.33</c:v>
                </c:pt>
                <c:pt idx="147">
                  <c:v>10.33</c:v>
                </c:pt>
                <c:pt idx="148">
                  <c:v>10.33</c:v>
                </c:pt>
                <c:pt idx="149">
                  <c:v>10.33</c:v>
                </c:pt>
                <c:pt idx="150">
                  <c:v>10.33</c:v>
                </c:pt>
                <c:pt idx="151">
                  <c:v>10.33</c:v>
                </c:pt>
                <c:pt idx="152">
                  <c:v>10.33</c:v>
                </c:pt>
                <c:pt idx="153">
                  <c:v>10.33</c:v>
                </c:pt>
                <c:pt idx="154">
                  <c:v>10.33</c:v>
                </c:pt>
                <c:pt idx="155">
                  <c:v>10.33</c:v>
                </c:pt>
                <c:pt idx="156">
                  <c:v>10.33</c:v>
                </c:pt>
                <c:pt idx="157">
                  <c:v>10.33</c:v>
                </c:pt>
                <c:pt idx="158">
                  <c:v>10.33</c:v>
                </c:pt>
                <c:pt idx="159">
                  <c:v>10.33</c:v>
                </c:pt>
                <c:pt idx="160">
                  <c:v>10.33</c:v>
                </c:pt>
                <c:pt idx="161">
                  <c:v>10.33</c:v>
                </c:pt>
                <c:pt idx="162">
                  <c:v>10.33</c:v>
                </c:pt>
                <c:pt idx="163">
                  <c:v>10.33</c:v>
                </c:pt>
                <c:pt idx="164">
                  <c:v>10.33</c:v>
                </c:pt>
                <c:pt idx="165">
                  <c:v>10.33</c:v>
                </c:pt>
                <c:pt idx="166">
                  <c:v>10.33</c:v>
                </c:pt>
                <c:pt idx="167">
                  <c:v>10.33</c:v>
                </c:pt>
                <c:pt idx="168">
                  <c:v>10.33</c:v>
                </c:pt>
                <c:pt idx="169">
                  <c:v>10.33</c:v>
                </c:pt>
                <c:pt idx="170">
                  <c:v>10.33</c:v>
                </c:pt>
                <c:pt idx="171">
                  <c:v>10.33</c:v>
                </c:pt>
                <c:pt idx="172">
                  <c:v>10.33</c:v>
                </c:pt>
                <c:pt idx="173">
                  <c:v>10.33</c:v>
                </c:pt>
                <c:pt idx="174">
                  <c:v>10.33</c:v>
                </c:pt>
                <c:pt idx="175">
                  <c:v>10.33</c:v>
                </c:pt>
                <c:pt idx="176">
                  <c:v>10.33</c:v>
                </c:pt>
                <c:pt idx="177">
                  <c:v>10.33</c:v>
                </c:pt>
                <c:pt idx="178">
                  <c:v>10.33</c:v>
                </c:pt>
                <c:pt idx="179">
                  <c:v>10.33</c:v>
                </c:pt>
                <c:pt idx="180">
                  <c:v>10.33</c:v>
                </c:pt>
                <c:pt idx="181">
                  <c:v>10.33</c:v>
                </c:pt>
                <c:pt idx="182">
                  <c:v>10.33</c:v>
                </c:pt>
                <c:pt idx="183">
                  <c:v>10.33</c:v>
                </c:pt>
                <c:pt idx="184">
                  <c:v>10.33</c:v>
                </c:pt>
                <c:pt idx="185">
                  <c:v>10.33</c:v>
                </c:pt>
                <c:pt idx="186">
                  <c:v>10.33</c:v>
                </c:pt>
                <c:pt idx="187">
                  <c:v>10.33</c:v>
                </c:pt>
                <c:pt idx="188">
                  <c:v>10.33</c:v>
                </c:pt>
                <c:pt idx="189">
                  <c:v>10.33</c:v>
                </c:pt>
                <c:pt idx="190">
                  <c:v>10.33</c:v>
                </c:pt>
                <c:pt idx="191">
                  <c:v>10.33</c:v>
                </c:pt>
                <c:pt idx="192">
                  <c:v>10.33</c:v>
                </c:pt>
                <c:pt idx="193">
                  <c:v>10.33</c:v>
                </c:pt>
                <c:pt idx="194">
                  <c:v>10.33</c:v>
                </c:pt>
                <c:pt idx="195">
                  <c:v>10.33</c:v>
                </c:pt>
                <c:pt idx="196">
                  <c:v>10.33</c:v>
                </c:pt>
                <c:pt idx="197">
                  <c:v>10.33</c:v>
                </c:pt>
                <c:pt idx="198">
                  <c:v>10.33</c:v>
                </c:pt>
                <c:pt idx="199">
                  <c:v>10.33</c:v>
                </c:pt>
              </c:numCache>
            </c:numRef>
          </c:yVal>
          <c:smooth val="0"/>
        </c:ser>
        <c:ser>
          <c:idx val="10"/>
          <c:order val="4"/>
          <c:tx>
            <c:strRef>
              <c:f>Berechnung!$AO$4</c:f>
              <c:strCache>
                <c:ptCount val="1"/>
                <c:pt idx="0">
                  <c:v>mid µ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Berechnung!$AO$5:$AO$204</c:f>
              <c:numCache>
                <c:formatCode>0.00</c:formatCode>
                <c:ptCount val="200"/>
                <c:pt idx="0">
                  <c:v>10.504999999999997</c:v>
                </c:pt>
                <c:pt idx="1">
                  <c:v>10.504999999999997</c:v>
                </c:pt>
                <c:pt idx="2">
                  <c:v>10.504999999999997</c:v>
                </c:pt>
                <c:pt idx="3">
                  <c:v>10.504999999999997</c:v>
                </c:pt>
                <c:pt idx="4">
                  <c:v>10.504999999999997</c:v>
                </c:pt>
                <c:pt idx="5">
                  <c:v>10.504999999999997</c:v>
                </c:pt>
                <c:pt idx="6">
                  <c:v>10.504999999999997</c:v>
                </c:pt>
                <c:pt idx="7">
                  <c:v>10.504999999999997</c:v>
                </c:pt>
                <c:pt idx="8">
                  <c:v>10.504999999999997</c:v>
                </c:pt>
                <c:pt idx="9">
                  <c:v>10.504999999999997</c:v>
                </c:pt>
                <c:pt idx="10">
                  <c:v>10.504999999999997</c:v>
                </c:pt>
                <c:pt idx="11">
                  <c:v>10.504999999999997</c:v>
                </c:pt>
                <c:pt idx="12">
                  <c:v>10.504999999999997</c:v>
                </c:pt>
                <c:pt idx="13">
                  <c:v>10.504999999999997</c:v>
                </c:pt>
                <c:pt idx="14">
                  <c:v>10.504999999999997</c:v>
                </c:pt>
                <c:pt idx="15">
                  <c:v>10.504999999999997</c:v>
                </c:pt>
                <c:pt idx="16">
                  <c:v>10.504999999999997</c:v>
                </c:pt>
                <c:pt idx="17">
                  <c:v>10.504999999999997</c:v>
                </c:pt>
                <c:pt idx="18">
                  <c:v>10.504999999999997</c:v>
                </c:pt>
                <c:pt idx="19">
                  <c:v>10.504999999999997</c:v>
                </c:pt>
                <c:pt idx="20">
                  <c:v>10.504999999999997</c:v>
                </c:pt>
                <c:pt idx="21">
                  <c:v>10.504999999999997</c:v>
                </c:pt>
                <c:pt idx="22">
                  <c:v>10.504999999999997</c:v>
                </c:pt>
                <c:pt idx="23">
                  <c:v>10.504999999999997</c:v>
                </c:pt>
                <c:pt idx="24">
                  <c:v>10.504999999999997</c:v>
                </c:pt>
                <c:pt idx="25">
                  <c:v>10.504999999999997</c:v>
                </c:pt>
                <c:pt idx="26">
                  <c:v>10.504999999999997</c:v>
                </c:pt>
                <c:pt idx="27">
                  <c:v>10.504999999999997</c:v>
                </c:pt>
                <c:pt idx="28">
                  <c:v>10.504999999999997</c:v>
                </c:pt>
                <c:pt idx="29">
                  <c:v>10.504999999999997</c:v>
                </c:pt>
                <c:pt idx="30">
                  <c:v>10.504999999999997</c:v>
                </c:pt>
                <c:pt idx="31">
                  <c:v>10.504999999999997</c:v>
                </c:pt>
                <c:pt idx="32">
                  <c:v>10.504999999999997</c:v>
                </c:pt>
                <c:pt idx="33">
                  <c:v>10.504999999999997</c:v>
                </c:pt>
                <c:pt idx="34">
                  <c:v>10.504999999999997</c:v>
                </c:pt>
                <c:pt idx="35">
                  <c:v>10.504999999999997</c:v>
                </c:pt>
                <c:pt idx="36">
                  <c:v>10.504999999999997</c:v>
                </c:pt>
                <c:pt idx="37">
                  <c:v>10.504999999999997</c:v>
                </c:pt>
                <c:pt idx="38">
                  <c:v>10.504999999999997</c:v>
                </c:pt>
                <c:pt idx="39">
                  <c:v>10.504999999999997</c:v>
                </c:pt>
                <c:pt idx="40">
                  <c:v>10.504999999999997</c:v>
                </c:pt>
                <c:pt idx="41">
                  <c:v>10.504999999999997</c:v>
                </c:pt>
                <c:pt idx="42">
                  <c:v>10.504999999999997</c:v>
                </c:pt>
                <c:pt idx="43">
                  <c:v>10.504999999999997</c:v>
                </c:pt>
                <c:pt idx="44">
                  <c:v>10.504999999999997</c:v>
                </c:pt>
                <c:pt idx="45">
                  <c:v>10.504999999999997</c:v>
                </c:pt>
                <c:pt idx="46">
                  <c:v>10.504999999999997</c:v>
                </c:pt>
                <c:pt idx="47">
                  <c:v>10.504999999999997</c:v>
                </c:pt>
                <c:pt idx="48">
                  <c:v>10.504999999999997</c:v>
                </c:pt>
                <c:pt idx="49">
                  <c:v>10.504999999999997</c:v>
                </c:pt>
                <c:pt idx="50">
                  <c:v>10.504999999999997</c:v>
                </c:pt>
                <c:pt idx="51">
                  <c:v>10.504999999999997</c:v>
                </c:pt>
                <c:pt idx="52">
                  <c:v>10.504999999999997</c:v>
                </c:pt>
                <c:pt idx="53">
                  <c:v>10.504999999999997</c:v>
                </c:pt>
                <c:pt idx="54">
                  <c:v>10.504999999999997</c:v>
                </c:pt>
                <c:pt idx="55">
                  <c:v>10.504999999999997</c:v>
                </c:pt>
                <c:pt idx="56">
                  <c:v>10.504999999999997</c:v>
                </c:pt>
                <c:pt idx="57">
                  <c:v>10.504999999999997</c:v>
                </c:pt>
                <c:pt idx="58">
                  <c:v>10.504999999999997</c:v>
                </c:pt>
                <c:pt idx="59">
                  <c:v>10.504999999999997</c:v>
                </c:pt>
                <c:pt idx="60">
                  <c:v>10.504999999999997</c:v>
                </c:pt>
                <c:pt idx="61">
                  <c:v>10.504999999999997</c:v>
                </c:pt>
                <c:pt idx="62">
                  <c:v>10.504999999999997</c:v>
                </c:pt>
                <c:pt idx="63">
                  <c:v>10.504999999999997</c:v>
                </c:pt>
                <c:pt idx="64">
                  <c:v>10.504999999999997</c:v>
                </c:pt>
                <c:pt idx="65">
                  <c:v>10.504999999999997</c:v>
                </c:pt>
                <c:pt idx="66">
                  <c:v>10.504999999999997</c:v>
                </c:pt>
                <c:pt idx="67">
                  <c:v>10.504999999999997</c:v>
                </c:pt>
                <c:pt idx="68">
                  <c:v>10.504999999999997</c:v>
                </c:pt>
                <c:pt idx="69">
                  <c:v>10.504999999999997</c:v>
                </c:pt>
                <c:pt idx="70">
                  <c:v>10.504999999999997</c:v>
                </c:pt>
                <c:pt idx="71">
                  <c:v>10.504999999999997</c:v>
                </c:pt>
                <c:pt idx="72">
                  <c:v>10.504999999999997</c:v>
                </c:pt>
                <c:pt idx="73">
                  <c:v>10.504999999999997</c:v>
                </c:pt>
                <c:pt idx="74">
                  <c:v>10.504999999999997</c:v>
                </c:pt>
                <c:pt idx="75">
                  <c:v>10.504999999999997</c:v>
                </c:pt>
                <c:pt idx="76">
                  <c:v>10.504999999999997</c:v>
                </c:pt>
                <c:pt idx="77">
                  <c:v>10.504999999999997</c:v>
                </c:pt>
                <c:pt idx="78">
                  <c:v>10.504999999999997</c:v>
                </c:pt>
                <c:pt idx="79">
                  <c:v>10.504999999999997</c:v>
                </c:pt>
                <c:pt idx="80">
                  <c:v>10.504999999999997</c:v>
                </c:pt>
                <c:pt idx="81">
                  <c:v>10.504999999999997</c:v>
                </c:pt>
                <c:pt idx="82">
                  <c:v>10.504999999999997</c:v>
                </c:pt>
                <c:pt idx="83">
                  <c:v>10.504999999999997</c:v>
                </c:pt>
                <c:pt idx="84">
                  <c:v>10.504999999999997</c:v>
                </c:pt>
                <c:pt idx="85">
                  <c:v>10.504999999999997</c:v>
                </c:pt>
                <c:pt idx="86">
                  <c:v>10.504999999999997</c:v>
                </c:pt>
                <c:pt idx="87">
                  <c:v>10.504999999999997</c:v>
                </c:pt>
                <c:pt idx="88">
                  <c:v>10.504999999999997</c:v>
                </c:pt>
                <c:pt idx="89">
                  <c:v>10.504999999999997</c:v>
                </c:pt>
                <c:pt idx="90">
                  <c:v>10.504999999999997</c:v>
                </c:pt>
                <c:pt idx="91">
                  <c:v>10.504999999999997</c:v>
                </c:pt>
                <c:pt idx="92">
                  <c:v>10.504999999999997</c:v>
                </c:pt>
                <c:pt idx="93">
                  <c:v>10.504999999999997</c:v>
                </c:pt>
                <c:pt idx="94">
                  <c:v>10.504999999999997</c:v>
                </c:pt>
                <c:pt idx="95">
                  <c:v>10.504999999999997</c:v>
                </c:pt>
                <c:pt idx="96">
                  <c:v>10.504999999999997</c:v>
                </c:pt>
                <c:pt idx="97">
                  <c:v>10.504999999999997</c:v>
                </c:pt>
                <c:pt idx="98">
                  <c:v>10.504999999999997</c:v>
                </c:pt>
                <c:pt idx="99">
                  <c:v>10.504999999999997</c:v>
                </c:pt>
                <c:pt idx="100">
                  <c:v>10.504999999999997</c:v>
                </c:pt>
                <c:pt idx="101">
                  <c:v>10.504999999999997</c:v>
                </c:pt>
                <c:pt idx="102">
                  <c:v>10.504999999999997</c:v>
                </c:pt>
                <c:pt idx="103">
                  <c:v>10.504999999999997</c:v>
                </c:pt>
                <c:pt idx="104">
                  <c:v>10.504999999999997</c:v>
                </c:pt>
                <c:pt idx="105">
                  <c:v>10.504999999999997</c:v>
                </c:pt>
                <c:pt idx="106">
                  <c:v>10.504999999999997</c:v>
                </c:pt>
                <c:pt idx="107">
                  <c:v>10.504999999999997</c:v>
                </c:pt>
                <c:pt idx="108">
                  <c:v>10.504999999999997</c:v>
                </c:pt>
                <c:pt idx="109">
                  <c:v>10.504999999999997</c:v>
                </c:pt>
                <c:pt idx="110">
                  <c:v>10.504999999999997</c:v>
                </c:pt>
                <c:pt idx="111">
                  <c:v>10.504999999999997</c:v>
                </c:pt>
                <c:pt idx="112">
                  <c:v>10.504999999999997</c:v>
                </c:pt>
                <c:pt idx="113">
                  <c:v>10.504999999999997</c:v>
                </c:pt>
                <c:pt idx="114">
                  <c:v>10.504999999999997</c:v>
                </c:pt>
                <c:pt idx="115">
                  <c:v>10.504999999999997</c:v>
                </c:pt>
                <c:pt idx="116">
                  <c:v>10.504999999999997</c:v>
                </c:pt>
                <c:pt idx="117">
                  <c:v>10.504999999999997</c:v>
                </c:pt>
                <c:pt idx="118">
                  <c:v>10.504999999999997</c:v>
                </c:pt>
                <c:pt idx="119">
                  <c:v>10.504999999999997</c:v>
                </c:pt>
                <c:pt idx="120">
                  <c:v>10.504999999999997</c:v>
                </c:pt>
                <c:pt idx="121">
                  <c:v>10.504999999999997</c:v>
                </c:pt>
                <c:pt idx="122">
                  <c:v>10.504999999999997</c:v>
                </c:pt>
                <c:pt idx="123">
                  <c:v>10.504999999999997</c:v>
                </c:pt>
                <c:pt idx="124">
                  <c:v>10.504999999999997</c:v>
                </c:pt>
                <c:pt idx="125">
                  <c:v>10.504999999999997</c:v>
                </c:pt>
                <c:pt idx="126">
                  <c:v>10.504999999999997</c:v>
                </c:pt>
                <c:pt idx="127">
                  <c:v>10.504999999999997</c:v>
                </c:pt>
                <c:pt idx="128">
                  <c:v>10.504999999999997</c:v>
                </c:pt>
                <c:pt idx="129">
                  <c:v>10.504999999999997</c:v>
                </c:pt>
                <c:pt idx="130">
                  <c:v>10.504999999999997</c:v>
                </c:pt>
                <c:pt idx="131">
                  <c:v>10.504999999999997</c:v>
                </c:pt>
                <c:pt idx="132">
                  <c:v>10.504999999999997</c:v>
                </c:pt>
                <c:pt idx="133">
                  <c:v>10.504999999999997</c:v>
                </c:pt>
                <c:pt idx="134">
                  <c:v>10.504999999999997</c:v>
                </c:pt>
                <c:pt idx="135">
                  <c:v>10.504999999999997</c:v>
                </c:pt>
                <c:pt idx="136">
                  <c:v>10.504999999999997</c:v>
                </c:pt>
                <c:pt idx="137">
                  <c:v>10.504999999999997</c:v>
                </c:pt>
                <c:pt idx="138">
                  <c:v>10.504999999999997</c:v>
                </c:pt>
                <c:pt idx="139">
                  <c:v>10.504999999999997</c:v>
                </c:pt>
                <c:pt idx="140">
                  <c:v>10.504999999999997</c:v>
                </c:pt>
                <c:pt idx="141">
                  <c:v>10.504999999999997</c:v>
                </c:pt>
                <c:pt idx="142">
                  <c:v>10.504999999999997</c:v>
                </c:pt>
                <c:pt idx="143">
                  <c:v>10.504999999999997</c:v>
                </c:pt>
                <c:pt idx="144">
                  <c:v>10.504999999999997</c:v>
                </c:pt>
                <c:pt idx="145">
                  <c:v>10.504999999999997</c:v>
                </c:pt>
                <c:pt idx="146">
                  <c:v>10.504999999999997</c:v>
                </c:pt>
                <c:pt idx="147">
                  <c:v>10.504999999999997</c:v>
                </c:pt>
                <c:pt idx="148">
                  <c:v>10.504999999999997</c:v>
                </c:pt>
                <c:pt idx="149">
                  <c:v>10.504999999999997</c:v>
                </c:pt>
                <c:pt idx="150">
                  <c:v>10.504999999999997</c:v>
                </c:pt>
                <c:pt idx="151">
                  <c:v>10.504999999999997</c:v>
                </c:pt>
                <c:pt idx="152">
                  <c:v>10.504999999999997</c:v>
                </c:pt>
                <c:pt idx="153">
                  <c:v>10.504999999999997</c:v>
                </c:pt>
                <c:pt idx="154">
                  <c:v>10.504999999999997</c:v>
                </c:pt>
                <c:pt idx="155">
                  <c:v>10.504999999999997</c:v>
                </c:pt>
                <c:pt idx="156">
                  <c:v>10.504999999999997</c:v>
                </c:pt>
                <c:pt idx="157">
                  <c:v>10.504999999999997</c:v>
                </c:pt>
                <c:pt idx="158">
                  <c:v>10.504999999999997</c:v>
                </c:pt>
                <c:pt idx="159">
                  <c:v>10.504999999999997</c:v>
                </c:pt>
                <c:pt idx="160">
                  <c:v>10.504999999999997</c:v>
                </c:pt>
                <c:pt idx="161">
                  <c:v>10.504999999999997</c:v>
                </c:pt>
                <c:pt idx="162">
                  <c:v>10.504999999999997</c:v>
                </c:pt>
                <c:pt idx="163">
                  <c:v>10.504999999999997</c:v>
                </c:pt>
                <c:pt idx="164">
                  <c:v>10.504999999999997</c:v>
                </c:pt>
                <c:pt idx="165">
                  <c:v>10.504999999999997</c:v>
                </c:pt>
                <c:pt idx="166">
                  <c:v>10.504999999999997</c:v>
                </c:pt>
                <c:pt idx="167">
                  <c:v>10.504999999999997</c:v>
                </c:pt>
                <c:pt idx="168">
                  <c:v>10.504999999999997</c:v>
                </c:pt>
                <c:pt idx="169">
                  <c:v>10.504999999999997</c:v>
                </c:pt>
                <c:pt idx="170">
                  <c:v>10.504999999999997</c:v>
                </c:pt>
                <c:pt idx="171">
                  <c:v>10.504999999999997</c:v>
                </c:pt>
                <c:pt idx="172">
                  <c:v>10.504999999999997</c:v>
                </c:pt>
                <c:pt idx="173">
                  <c:v>10.504999999999997</c:v>
                </c:pt>
                <c:pt idx="174">
                  <c:v>10.504999999999997</c:v>
                </c:pt>
                <c:pt idx="175">
                  <c:v>10.504999999999997</c:v>
                </c:pt>
                <c:pt idx="176">
                  <c:v>10.504999999999997</c:v>
                </c:pt>
                <c:pt idx="177">
                  <c:v>10.504999999999997</c:v>
                </c:pt>
                <c:pt idx="178">
                  <c:v>10.504999999999997</c:v>
                </c:pt>
                <c:pt idx="179">
                  <c:v>10.504999999999997</c:v>
                </c:pt>
                <c:pt idx="180">
                  <c:v>10.504999999999997</c:v>
                </c:pt>
                <c:pt idx="181">
                  <c:v>10.504999999999997</c:v>
                </c:pt>
                <c:pt idx="182">
                  <c:v>10.504999999999997</c:v>
                </c:pt>
                <c:pt idx="183">
                  <c:v>10.504999999999997</c:v>
                </c:pt>
                <c:pt idx="184">
                  <c:v>10.504999999999997</c:v>
                </c:pt>
                <c:pt idx="185">
                  <c:v>10.504999999999997</c:v>
                </c:pt>
                <c:pt idx="186">
                  <c:v>10.504999999999997</c:v>
                </c:pt>
                <c:pt idx="187">
                  <c:v>10.504999999999997</c:v>
                </c:pt>
                <c:pt idx="188">
                  <c:v>10.504999999999997</c:v>
                </c:pt>
                <c:pt idx="189">
                  <c:v>10.504999999999997</c:v>
                </c:pt>
                <c:pt idx="190">
                  <c:v>10.504999999999997</c:v>
                </c:pt>
                <c:pt idx="191">
                  <c:v>10.504999999999997</c:v>
                </c:pt>
                <c:pt idx="192">
                  <c:v>10.504999999999997</c:v>
                </c:pt>
                <c:pt idx="193">
                  <c:v>10.504999999999997</c:v>
                </c:pt>
                <c:pt idx="194">
                  <c:v>10.504999999999997</c:v>
                </c:pt>
                <c:pt idx="195">
                  <c:v>10.504999999999997</c:v>
                </c:pt>
                <c:pt idx="196">
                  <c:v>10.504999999999997</c:v>
                </c:pt>
                <c:pt idx="197">
                  <c:v>10.504999999999997</c:v>
                </c:pt>
                <c:pt idx="198">
                  <c:v>10.504999999999997</c:v>
                </c:pt>
                <c:pt idx="199">
                  <c:v>10.504999999999997</c:v>
                </c:pt>
              </c:numCache>
            </c:numRef>
          </c:yVal>
          <c:smooth val="0"/>
        </c:ser>
        <c:ser>
          <c:idx val="0"/>
          <c:order val="5"/>
          <c:tx>
            <c:strRef>
              <c:f>Berechnung!$AK$4</c:f>
              <c:strCache>
                <c:ptCount val="1"/>
                <c:pt idx="0">
                  <c:v>-  2 Sigma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Berechnung!$AK$5:$AK$204</c:f>
              <c:numCache>
                <c:formatCode>0.00</c:formatCode>
                <c:ptCount val="200"/>
                <c:pt idx="0">
                  <c:v>10.252571792384446</c:v>
                </c:pt>
                <c:pt idx="1">
                  <c:v>10.252571792384446</c:v>
                </c:pt>
                <c:pt idx="2">
                  <c:v>10.252571792384446</c:v>
                </c:pt>
                <c:pt idx="3">
                  <c:v>10.252571792384446</c:v>
                </c:pt>
                <c:pt idx="4">
                  <c:v>10.252571792384446</c:v>
                </c:pt>
                <c:pt idx="5">
                  <c:v>10.252571792384446</c:v>
                </c:pt>
                <c:pt idx="6">
                  <c:v>10.252571792384446</c:v>
                </c:pt>
                <c:pt idx="7">
                  <c:v>10.252571792384446</c:v>
                </c:pt>
                <c:pt idx="8">
                  <c:v>10.252571792384446</c:v>
                </c:pt>
                <c:pt idx="9">
                  <c:v>10.252571792384446</c:v>
                </c:pt>
                <c:pt idx="10">
                  <c:v>10.252571792384446</c:v>
                </c:pt>
                <c:pt idx="11">
                  <c:v>10.252571792384446</c:v>
                </c:pt>
                <c:pt idx="12">
                  <c:v>10.252571792384446</c:v>
                </c:pt>
                <c:pt idx="13">
                  <c:v>10.252571792384446</c:v>
                </c:pt>
                <c:pt idx="14">
                  <c:v>10.252571792384446</c:v>
                </c:pt>
                <c:pt idx="15">
                  <c:v>10.252571792384446</c:v>
                </c:pt>
                <c:pt idx="16">
                  <c:v>10.252571792384446</c:v>
                </c:pt>
                <c:pt idx="17">
                  <c:v>10.252571792384446</c:v>
                </c:pt>
                <c:pt idx="18">
                  <c:v>10.252571792384446</c:v>
                </c:pt>
                <c:pt idx="19">
                  <c:v>10.252571792384446</c:v>
                </c:pt>
                <c:pt idx="20">
                  <c:v>10.252571792384446</c:v>
                </c:pt>
                <c:pt idx="21">
                  <c:v>10.252571792384446</c:v>
                </c:pt>
                <c:pt idx="22">
                  <c:v>10.252571792384446</c:v>
                </c:pt>
                <c:pt idx="23">
                  <c:v>10.252571792384446</c:v>
                </c:pt>
                <c:pt idx="24">
                  <c:v>10.252571792384446</c:v>
                </c:pt>
                <c:pt idx="25">
                  <c:v>10.252571792384446</c:v>
                </c:pt>
                <c:pt idx="26">
                  <c:v>10.252571792384446</c:v>
                </c:pt>
                <c:pt idx="27">
                  <c:v>10.252571792384446</c:v>
                </c:pt>
                <c:pt idx="28">
                  <c:v>10.252571792384446</c:v>
                </c:pt>
                <c:pt idx="29">
                  <c:v>10.252571792384446</c:v>
                </c:pt>
                <c:pt idx="30">
                  <c:v>10.252571792384446</c:v>
                </c:pt>
                <c:pt idx="31">
                  <c:v>10.252571792384446</c:v>
                </c:pt>
                <c:pt idx="32">
                  <c:v>10.252571792384446</c:v>
                </c:pt>
                <c:pt idx="33">
                  <c:v>10.252571792384446</c:v>
                </c:pt>
                <c:pt idx="34">
                  <c:v>10.252571792384446</c:v>
                </c:pt>
                <c:pt idx="35">
                  <c:v>10.252571792384446</c:v>
                </c:pt>
                <c:pt idx="36">
                  <c:v>10.252571792384446</c:v>
                </c:pt>
                <c:pt idx="37">
                  <c:v>10.252571792384446</c:v>
                </c:pt>
                <c:pt idx="38">
                  <c:v>10.252571792384446</c:v>
                </c:pt>
                <c:pt idx="39">
                  <c:v>10.252571792384446</c:v>
                </c:pt>
                <c:pt idx="40">
                  <c:v>10.252571792384446</c:v>
                </c:pt>
                <c:pt idx="41">
                  <c:v>10.252571792384446</c:v>
                </c:pt>
                <c:pt idx="42">
                  <c:v>10.252571792384446</c:v>
                </c:pt>
                <c:pt idx="43">
                  <c:v>10.252571792384446</c:v>
                </c:pt>
                <c:pt idx="44">
                  <c:v>10.252571792384446</c:v>
                </c:pt>
                <c:pt idx="45">
                  <c:v>10.252571792384446</c:v>
                </c:pt>
                <c:pt idx="46">
                  <c:v>10.252571792384446</c:v>
                </c:pt>
                <c:pt idx="47">
                  <c:v>10.252571792384446</c:v>
                </c:pt>
                <c:pt idx="48">
                  <c:v>10.252571792384446</c:v>
                </c:pt>
                <c:pt idx="49">
                  <c:v>10.252571792384446</c:v>
                </c:pt>
                <c:pt idx="50">
                  <c:v>10.252571792384446</c:v>
                </c:pt>
                <c:pt idx="51">
                  <c:v>10.252571792384446</c:v>
                </c:pt>
                <c:pt idx="52">
                  <c:v>10.252571792384446</c:v>
                </c:pt>
                <c:pt idx="53">
                  <c:v>10.252571792384446</c:v>
                </c:pt>
                <c:pt idx="54">
                  <c:v>10.252571792384446</c:v>
                </c:pt>
                <c:pt idx="55">
                  <c:v>10.252571792384446</c:v>
                </c:pt>
                <c:pt idx="56">
                  <c:v>10.252571792384446</c:v>
                </c:pt>
                <c:pt idx="57">
                  <c:v>10.252571792384446</c:v>
                </c:pt>
                <c:pt idx="58">
                  <c:v>10.252571792384446</c:v>
                </c:pt>
                <c:pt idx="59">
                  <c:v>10.252571792384446</c:v>
                </c:pt>
                <c:pt idx="60">
                  <c:v>10.252571792384446</c:v>
                </c:pt>
                <c:pt idx="61">
                  <c:v>10.252571792384446</c:v>
                </c:pt>
                <c:pt idx="62">
                  <c:v>10.252571792384446</c:v>
                </c:pt>
                <c:pt idx="63">
                  <c:v>10.252571792384446</c:v>
                </c:pt>
                <c:pt idx="64">
                  <c:v>10.252571792384446</c:v>
                </c:pt>
                <c:pt idx="65">
                  <c:v>10.252571792384446</c:v>
                </c:pt>
                <c:pt idx="66">
                  <c:v>10.252571792384446</c:v>
                </c:pt>
                <c:pt idx="67">
                  <c:v>10.252571792384446</c:v>
                </c:pt>
                <c:pt idx="68">
                  <c:v>10.252571792384446</c:v>
                </c:pt>
                <c:pt idx="69">
                  <c:v>10.252571792384446</c:v>
                </c:pt>
                <c:pt idx="70">
                  <c:v>10.252571792384446</c:v>
                </c:pt>
                <c:pt idx="71">
                  <c:v>10.252571792384446</c:v>
                </c:pt>
                <c:pt idx="72">
                  <c:v>10.252571792384446</c:v>
                </c:pt>
                <c:pt idx="73">
                  <c:v>10.252571792384446</c:v>
                </c:pt>
                <c:pt idx="74">
                  <c:v>10.252571792384446</c:v>
                </c:pt>
                <c:pt idx="75">
                  <c:v>10.252571792384446</c:v>
                </c:pt>
                <c:pt idx="76">
                  <c:v>10.252571792384446</c:v>
                </c:pt>
                <c:pt idx="77">
                  <c:v>10.252571792384446</c:v>
                </c:pt>
                <c:pt idx="78">
                  <c:v>10.252571792384446</c:v>
                </c:pt>
                <c:pt idx="79">
                  <c:v>10.252571792384446</c:v>
                </c:pt>
                <c:pt idx="80">
                  <c:v>10.252571792384446</c:v>
                </c:pt>
                <c:pt idx="81">
                  <c:v>10.252571792384446</c:v>
                </c:pt>
                <c:pt idx="82">
                  <c:v>10.252571792384446</c:v>
                </c:pt>
                <c:pt idx="83">
                  <c:v>10.252571792384446</c:v>
                </c:pt>
                <c:pt idx="84">
                  <c:v>10.252571792384446</c:v>
                </c:pt>
                <c:pt idx="85">
                  <c:v>10.252571792384446</c:v>
                </c:pt>
                <c:pt idx="86">
                  <c:v>10.252571792384446</c:v>
                </c:pt>
                <c:pt idx="87">
                  <c:v>10.252571792384446</c:v>
                </c:pt>
                <c:pt idx="88">
                  <c:v>10.252571792384446</c:v>
                </c:pt>
                <c:pt idx="89">
                  <c:v>10.252571792384446</c:v>
                </c:pt>
                <c:pt idx="90">
                  <c:v>10.252571792384446</c:v>
                </c:pt>
                <c:pt idx="91">
                  <c:v>10.252571792384446</c:v>
                </c:pt>
                <c:pt idx="92">
                  <c:v>10.252571792384446</c:v>
                </c:pt>
                <c:pt idx="93">
                  <c:v>10.252571792384446</c:v>
                </c:pt>
                <c:pt idx="94">
                  <c:v>10.252571792384446</c:v>
                </c:pt>
                <c:pt idx="95">
                  <c:v>10.252571792384446</c:v>
                </c:pt>
                <c:pt idx="96">
                  <c:v>10.252571792384446</c:v>
                </c:pt>
                <c:pt idx="97">
                  <c:v>10.252571792384446</c:v>
                </c:pt>
                <c:pt idx="98">
                  <c:v>10.252571792384446</c:v>
                </c:pt>
                <c:pt idx="99">
                  <c:v>10.252571792384446</c:v>
                </c:pt>
                <c:pt idx="100">
                  <c:v>10.252571792384446</c:v>
                </c:pt>
                <c:pt idx="101">
                  <c:v>10.252571792384446</c:v>
                </c:pt>
                <c:pt idx="102">
                  <c:v>10.252571792384446</c:v>
                </c:pt>
                <c:pt idx="103">
                  <c:v>10.252571792384446</c:v>
                </c:pt>
                <c:pt idx="104">
                  <c:v>10.252571792384446</c:v>
                </c:pt>
                <c:pt idx="105">
                  <c:v>10.252571792384446</c:v>
                </c:pt>
                <c:pt idx="106">
                  <c:v>10.252571792384446</c:v>
                </c:pt>
                <c:pt idx="107">
                  <c:v>10.252571792384446</c:v>
                </c:pt>
                <c:pt idx="108">
                  <c:v>10.252571792384446</c:v>
                </c:pt>
                <c:pt idx="109">
                  <c:v>10.252571792384446</c:v>
                </c:pt>
                <c:pt idx="110">
                  <c:v>10.252571792384446</c:v>
                </c:pt>
                <c:pt idx="111">
                  <c:v>10.252571792384446</c:v>
                </c:pt>
                <c:pt idx="112">
                  <c:v>10.252571792384446</c:v>
                </c:pt>
                <c:pt idx="113">
                  <c:v>10.252571792384446</c:v>
                </c:pt>
                <c:pt idx="114">
                  <c:v>10.252571792384446</c:v>
                </c:pt>
                <c:pt idx="115">
                  <c:v>10.252571792384446</c:v>
                </c:pt>
                <c:pt idx="116">
                  <c:v>10.252571792384446</c:v>
                </c:pt>
                <c:pt idx="117">
                  <c:v>10.252571792384446</c:v>
                </c:pt>
                <c:pt idx="118">
                  <c:v>10.252571792384446</c:v>
                </c:pt>
                <c:pt idx="119">
                  <c:v>10.252571792384446</c:v>
                </c:pt>
                <c:pt idx="120">
                  <c:v>10.252571792384446</c:v>
                </c:pt>
                <c:pt idx="121">
                  <c:v>10.252571792384446</c:v>
                </c:pt>
                <c:pt idx="122">
                  <c:v>10.252571792384446</c:v>
                </c:pt>
                <c:pt idx="123">
                  <c:v>10.252571792384446</c:v>
                </c:pt>
                <c:pt idx="124">
                  <c:v>10.252571792384446</c:v>
                </c:pt>
                <c:pt idx="125">
                  <c:v>10.252571792384446</c:v>
                </c:pt>
                <c:pt idx="126">
                  <c:v>10.252571792384446</c:v>
                </c:pt>
                <c:pt idx="127">
                  <c:v>10.252571792384446</c:v>
                </c:pt>
                <c:pt idx="128">
                  <c:v>10.252571792384446</c:v>
                </c:pt>
                <c:pt idx="129">
                  <c:v>10.252571792384446</c:v>
                </c:pt>
                <c:pt idx="130">
                  <c:v>10.252571792384446</c:v>
                </c:pt>
                <c:pt idx="131">
                  <c:v>10.252571792384446</c:v>
                </c:pt>
                <c:pt idx="132">
                  <c:v>10.252571792384446</c:v>
                </c:pt>
                <c:pt idx="133">
                  <c:v>10.252571792384446</c:v>
                </c:pt>
                <c:pt idx="134">
                  <c:v>10.252571792384446</c:v>
                </c:pt>
                <c:pt idx="135">
                  <c:v>10.252571792384446</c:v>
                </c:pt>
                <c:pt idx="136">
                  <c:v>10.252571792384446</c:v>
                </c:pt>
                <c:pt idx="137">
                  <c:v>10.252571792384446</c:v>
                </c:pt>
                <c:pt idx="138">
                  <c:v>10.252571792384446</c:v>
                </c:pt>
                <c:pt idx="139">
                  <c:v>10.252571792384446</c:v>
                </c:pt>
                <c:pt idx="140">
                  <c:v>10.252571792384446</c:v>
                </c:pt>
                <c:pt idx="141">
                  <c:v>10.252571792384446</c:v>
                </c:pt>
                <c:pt idx="142">
                  <c:v>10.252571792384446</c:v>
                </c:pt>
                <c:pt idx="143">
                  <c:v>10.252571792384446</c:v>
                </c:pt>
                <c:pt idx="144">
                  <c:v>10.252571792384446</c:v>
                </c:pt>
                <c:pt idx="145">
                  <c:v>10.252571792384446</c:v>
                </c:pt>
                <c:pt idx="146">
                  <c:v>10.252571792384446</c:v>
                </c:pt>
                <c:pt idx="147">
                  <c:v>10.252571792384446</c:v>
                </c:pt>
                <c:pt idx="148">
                  <c:v>10.252571792384446</c:v>
                </c:pt>
                <c:pt idx="149">
                  <c:v>10.252571792384446</c:v>
                </c:pt>
                <c:pt idx="150">
                  <c:v>10.252571792384446</c:v>
                </c:pt>
                <c:pt idx="151">
                  <c:v>10.252571792384446</c:v>
                </c:pt>
                <c:pt idx="152">
                  <c:v>10.252571792384446</c:v>
                </c:pt>
                <c:pt idx="153">
                  <c:v>10.252571792384446</c:v>
                </c:pt>
                <c:pt idx="154">
                  <c:v>10.252571792384446</c:v>
                </c:pt>
                <c:pt idx="155">
                  <c:v>10.252571792384446</c:v>
                </c:pt>
                <c:pt idx="156">
                  <c:v>10.252571792384446</c:v>
                </c:pt>
                <c:pt idx="157">
                  <c:v>10.252571792384446</c:v>
                </c:pt>
                <c:pt idx="158">
                  <c:v>10.252571792384446</c:v>
                </c:pt>
                <c:pt idx="159">
                  <c:v>10.252571792384446</c:v>
                </c:pt>
                <c:pt idx="160">
                  <c:v>10.252571792384446</c:v>
                </c:pt>
                <c:pt idx="161">
                  <c:v>10.252571792384446</c:v>
                </c:pt>
                <c:pt idx="162">
                  <c:v>10.252571792384446</c:v>
                </c:pt>
                <c:pt idx="163">
                  <c:v>10.252571792384446</c:v>
                </c:pt>
                <c:pt idx="164">
                  <c:v>10.252571792384446</c:v>
                </c:pt>
                <c:pt idx="165">
                  <c:v>10.252571792384446</c:v>
                </c:pt>
                <c:pt idx="166">
                  <c:v>10.252571792384446</c:v>
                </c:pt>
                <c:pt idx="167">
                  <c:v>10.252571792384446</c:v>
                </c:pt>
                <c:pt idx="168">
                  <c:v>10.252571792384446</c:v>
                </c:pt>
                <c:pt idx="169">
                  <c:v>10.252571792384446</c:v>
                </c:pt>
                <c:pt idx="170">
                  <c:v>10.252571792384446</c:v>
                </c:pt>
                <c:pt idx="171">
                  <c:v>10.252571792384446</c:v>
                </c:pt>
                <c:pt idx="172">
                  <c:v>10.252571792384446</c:v>
                </c:pt>
                <c:pt idx="173">
                  <c:v>10.252571792384446</c:v>
                </c:pt>
                <c:pt idx="174">
                  <c:v>10.252571792384446</c:v>
                </c:pt>
                <c:pt idx="175">
                  <c:v>10.252571792384446</c:v>
                </c:pt>
                <c:pt idx="176">
                  <c:v>10.252571792384446</c:v>
                </c:pt>
                <c:pt idx="177">
                  <c:v>10.252571792384446</c:v>
                </c:pt>
                <c:pt idx="178">
                  <c:v>10.252571792384446</c:v>
                </c:pt>
                <c:pt idx="179">
                  <c:v>10.252571792384446</c:v>
                </c:pt>
                <c:pt idx="180">
                  <c:v>10.252571792384446</c:v>
                </c:pt>
                <c:pt idx="181">
                  <c:v>10.252571792384446</c:v>
                </c:pt>
                <c:pt idx="182">
                  <c:v>10.252571792384446</c:v>
                </c:pt>
                <c:pt idx="183">
                  <c:v>10.252571792384446</c:v>
                </c:pt>
                <c:pt idx="184">
                  <c:v>10.252571792384446</c:v>
                </c:pt>
                <c:pt idx="185">
                  <c:v>10.252571792384446</c:v>
                </c:pt>
                <c:pt idx="186">
                  <c:v>10.252571792384446</c:v>
                </c:pt>
                <c:pt idx="187">
                  <c:v>10.252571792384446</c:v>
                </c:pt>
                <c:pt idx="188">
                  <c:v>10.252571792384446</c:v>
                </c:pt>
                <c:pt idx="189">
                  <c:v>10.252571792384446</c:v>
                </c:pt>
                <c:pt idx="190">
                  <c:v>10.252571792384446</c:v>
                </c:pt>
                <c:pt idx="191">
                  <c:v>10.252571792384446</c:v>
                </c:pt>
                <c:pt idx="192">
                  <c:v>10.252571792384446</c:v>
                </c:pt>
                <c:pt idx="193">
                  <c:v>10.252571792384446</c:v>
                </c:pt>
                <c:pt idx="194">
                  <c:v>10.252571792384446</c:v>
                </c:pt>
                <c:pt idx="195">
                  <c:v>10.252571792384446</c:v>
                </c:pt>
                <c:pt idx="196">
                  <c:v>10.252571792384446</c:v>
                </c:pt>
                <c:pt idx="197">
                  <c:v>10.252571792384446</c:v>
                </c:pt>
                <c:pt idx="198">
                  <c:v>10.252571792384446</c:v>
                </c:pt>
                <c:pt idx="199">
                  <c:v>10.252571792384446</c:v>
                </c:pt>
              </c:numCache>
            </c:numRef>
          </c:yVal>
          <c:smooth val="0"/>
        </c:ser>
        <c:ser>
          <c:idx val="8"/>
          <c:order val="6"/>
          <c:tx>
            <c:strRef>
              <c:f>Berechnung!$AM$4</c:f>
              <c:strCache>
                <c:ptCount val="1"/>
                <c:pt idx="0">
                  <c:v> - 3 Sigma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Berechnung!$AM$5:$AM$204</c:f>
              <c:numCache>
                <c:formatCode>0.00</c:formatCode>
                <c:ptCount val="200"/>
                <c:pt idx="0">
                  <c:v>10.12635768857667</c:v>
                </c:pt>
                <c:pt idx="1">
                  <c:v>10.12635768857667</c:v>
                </c:pt>
                <c:pt idx="2">
                  <c:v>10.12635768857667</c:v>
                </c:pt>
                <c:pt idx="3">
                  <c:v>10.12635768857667</c:v>
                </c:pt>
                <c:pt idx="4">
                  <c:v>10.12635768857667</c:v>
                </c:pt>
                <c:pt idx="5">
                  <c:v>10.12635768857667</c:v>
                </c:pt>
                <c:pt idx="6">
                  <c:v>10.12635768857667</c:v>
                </c:pt>
                <c:pt idx="7">
                  <c:v>10.12635768857667</c:v>
                </c:pt>
                <c:pt idx="8">
                  <c:v>10.12635768857667</c:v>
                </c:pt>
                <c:pt idx="9">
                  <c:v>10.12635768857667</c:v>
                </c:pt>
                <c:pt idx="10">
                  <c:v>10.12635768857667</c:v>
                </c:pt>
                <c:pt idx="11">
                  <c:v>10.12635768857667</c:v>
                </c:pt>
                <c:pt idx="12">
                  <c:v>10.12635768857667</c:v>
                </c:pt>
                <c:pt idx="13">
                  <c:v>10.12635768857667</c:v>
                </c:pt>
                <c:pt idx="14">
                  <c:v>10.12635768857667</c:v>
                </c:pt>
                <c:pt idx="15">
                  <c:v>10.12635768857667</c:v>
                </c:pt>
                <c:pt idx="16">
                  <c:v>10.12635768857667</c:v>
                </c:pt>
                <c:pt idx="17">
                  <c:v>10.12635768857667</c:v>
                </c:pt>
                <c:pt idx="18">
                  <c:v>10.12635768857667</c:v>
                </c:pt>
                <c:pt idx="19">
                  <c:v>10.12635768857667</c:v>
                </c:pt>
                <c:pt idx="20">
                  <c:v>10.12635768857667</c:v>
                </c:pt>
                <c:pt idx="21">
                  <c:v>10.12635768857667</c:v>
                </c:pt>
                <c:pt idx="22">
                  <c:v>10.12635768857667</c:v>
                </c:pt>
                <c:pt idx="23">
                  <c:v>10.12635768857667</c:v>
                </c:pt>
                <c:pt idx="24">
                  <c:v>10.12635768857667</c:v>
                </c:pt>
                <c:pt idx="25">
                  <c:v>10.12635768857667</c:v>
                </c:pt>
                <c:pt idx="26">
                  <c:v>10.12635768857667</c:v>
                </c:pt>
                <c:pt idx="27">
                  <c:v>10.12635768857667</c:v>
                </c:pt>
                <c:pt idx="28">
                  <c:v>10.12635768857667</c:v>
                </c:pt>
                <c:pt idx="29">
                  <c:v>10.12635768857667</c:v>
                </c:pt>
                <c:pt idx="30">
                  <c:v>10.12635768857667</c:v>
                </c:pt>
                <c:pt idx="31">
                  <c:v>10.12635768857667</c:v>
                </c:pt>
                <c:pt idx="32">
                  <c:v>10.12635768857667</c:v>
                </c:pt>
                <c:pt idx="33">
                  <c:v>10.12635768857667</c:v>
                </c:pt>
                <c:pt idx="34">
                  <c:v>10.12635768857667</c:v>
                </c:pt>
                <c:pt idx="35">
                  <c:v>10.12635768857667</c:v>
                </c:pt>
                <c:pt idx="36">
                  <c:v>10.12635768857667</c:v>
                </c:pt>
                <c:pt idx="37">
                  <c:v>10.12635768857667</c:v>
                </c:pt>
                <c:pt idx="38">
                  <c:v>10.12635768857667</c:v>
                </c:pt>
                <c:pt idx="39">
                  <c:v>10.12635768857667</c:v>
                </c:pt>
                <c:pt idx="40">
                  <c:v>10.12635768857667</c:v>
                </c:pt>
                <c:pt idx="41">
                  <c:v>10.12635768857667</c:v>
                </c:pt>
                <c:pt idx="42">
                  <c:v>10.12635768857667</c:v>
                </c:pt>
                <c:pt idx="43">
                  <c:v>10.12635768857667</c:v>
                </c:pt>
                <c:pt idx="44">
                  <c:v>10.12635768857667</c:v>
                </c:pt>
                <c:pt idx="45">
                  <c:v>10.12635768857667</c:v>
                </c:pt>
                <c:pt idx="46">
                  <c:v>10.12635768857667</c:v>
                </c:pt>
                <c:pt idx="47">
                  <c:v>10.12635768857667</c:v>
                </c:pt>
                <c:pt idx="48">
                  <c:v>10.12635768857667</c:v>
                </c:pt>
                <c:pt idx="49">
                  <c:v>10.12635768857667</c:v>
                </c:pt>
                <c:pt idx="50">
                  <c:v>10.12635768857667</c:v>
                </c:pt>
                <c:pt idx="51">
                  <c:v>10.12635768857667</c:v>
                </c:pt>
                <c:pt idx="52">
                  <c:v>10.12635768857667</c:v>
                </c:pt>
                <c:pt idx="53">
                  <c:v>10.12635768857667</c:v>
                </c:pt>
                <c:pt idx="54">
                  <c:v>10.12635768857667</c:v>
                </c:pt>
                <c:pt idx="55">
                  <c:v>10.12635768857667</c:v>
                </c:pt>
                <c:pt idx="56">
                  <c:v>10.12635768857667</c:v>
                </c:pt>
                <c:pt idx="57">
                  <c:v>10.12635768857667</c:v>
                </c:pt>
                <c:pt idx="58">
                  <c:v>10.12635768857667</c:v>
                </c:pt>
                <c:pt idx="59">
                  <c:v>10.12635768857667</c:v>
                </c:pt>
                <c:pt idx="60">
                  <c:v>10.12635768857667</c:v>
                </c:pt>
                <c:pt idx="61">
                  <c:v>10.12635768857667</c:v>
                </c:pt>
                <c:pt idx="62">
                  <c:v>10.12635768857667</c:v>
                </c:pt>
                <c:pt idx="63">
                  <c:v>10.12635768857667</c:v>
                </c:pt>
                <c:pt idx="64">
                  <c:v>10.12635768857667</c:v>
                </c:pt>
                <c:pt idx="65">
                  <c:v>10.12635768857667</c:v>
                </c:pt>
                <c:pt idx="66">
                  <c:v>10.12635768857667</c:v>
                </c:pt>
                <c:pt idx="67">
                  <c:v>10.12635768857667</c:v>
                </c:pt>
                <c:pt idx="68">
                  <c:v>10.12635768857667</c:v>
                </c:pt>
                <c:pt idx="69">
                  <c:v>10.12635768857667</c:v>
                </c:pt>
                <c:pt idx="70">
                  <c:v>10.12635768857667</c:v>
                </c:pt>
                <c:pt idx="71">
                  <c:v>10.12635768857667</c:v>
                </c:pt>
                <c:pt idx="72">
                  <c:v>10.12635768857667</c:v>
                </c:pt>
                <c:pt idx="73">
                  <c:v>10.12635768857667</c:v>
                </c:pt>
                <c:pt idx="74">
                  <c:v>10.12635768857667</c:v>
                </c:pt>
                <c:pt idx="75">
                  <c:v>10.12635768857667</c:v>
                </c:pt>
                <c:pt idx="76">
                  <c:v>10.12635768857667</c:v>
                </c:pt>
                <c:pt idx="77">
                  <c:v>10.12635768857667</c:v>
                </c:pt>
                <c:pt idx="78">
                  <c:v>10.12635768857667</c:v>
                </c:pt>
                <c:pt idx="79">
                  <c:v>10.12635768857667</c:v>
                </c:pt>
                <c:pt idx="80">
                  <c:v>10.12635768857667</c:v>
                </c:pt>
                <c:pt idx="81">
                  <c:v>10.12635768857667</c:v>
                </c:pt>
                <c:pt idx="82">
                  <c:v>10.12635768857667</c:v>
                </c:pt>
                <c:pt idx="83">
                  <c:v>10.12635768857667</c:v>
                </c:pt>
                <c:pt idx="84">
                  <c:v>10.12635768857667</c:v>
                </c:pt>
                <c:pt idx="85">
                  <c:v>10.12635768857667</c:v>
                </c:pt>
                <c:pt idx="86">
                  <c:v>10.12635768857667</c:v>
                </c:pt>
                <c:pt idx="87">
                  <c:v>10.12635768857667</c:v>
                </c:pt>
                <c:pt idx="88">
                  <c:v>10.12635768857667</c:v>
                </c:pt>
                <c:pt idx="89">
                  <c:v>10.12635768857667</c:v>
                </c:pt>
                <c:pt idx="90">
                  <c:v>10.12635768857667</c:v>
                </c:pt>
                <c:pt idx="91">
                  <c:v>10.12635768857667</c:v>
                </c:pt>
                <c:pt idx="92">
                  <c:v>10.12635768857667</c:v>
                </c:pt>
                <c:pt idx="93">
                  <c:v>10.12635768857667</c:v>
                </c:pt>
                <c:pt idx="94">
                  <c:v>10.12635768857667</c:v>
                </c:pt>
                <c:pt idx="95">
                  <c:v>10.12635768857667</c:v>
                </c:pt>
                <c:pt idx="96">
                  <c:v>10.12635768857667</c:v>
                </c:pt>
                <c:pt idx="97">
                  <c:v>10.12635768857667</c:v>
                </c:pt>
                <c:pt idx="98">
                  <c:v>10.12635768857667</c:v>
                </c:pt>
                <c:pt idx="99">
                  <c:v>10.12635768857667</c:v>
                </c:pt>
                <c:pt idx="100">
                  <c:v>10.12635768857667</c:v>
                </c:pt>
                <c:pt idx="101">
                  <c:v>10.12635768857667</c:v>
                </c:pt>
                <c:pt idx="102">
                  <c:v>10.12635768857667</c:v>
                </c:pt>
                <c:pt idx="103">
                  <c:v>10.12635768857667</c:v>
                </c:pt>
                <c:pt idx="104">
                  <c:v>10.12635768857667</c:v>
                </c:pt>
                <c:pt idx="105">
                  <c:v>10.12635768857667</c:v>
                </c:pt>
                <c:pt idx="106">
                  <c:v>10.12635768857667</c:v>
                </c:pt>
                <c:pt idx="107">
                  <c:v>10.12635768857667</c:v>
                </c:pt>
                <c:pt idx="108">
                  <c:v>10.12635768857667</c:v>
                </c:pt>
                <c:pt idx="109">
                  <c:v>10.12635768857667</c:v>
                </c:pt>
                <c:pt idx="110">
                  <c:v>10.12635768857667</c:v>
                </c:pt>
                <c:pt idx="111">
                  <c:v>10.12635768857667</c:v>
                </c:pt>
                <c:pt idx="112">
                  <c:v>10.12635768857667</c:v>
                </c:pt>
                <c:pt idx="113">
                  <c:v>10.12635768857667</c:v>
                </c:pt>
                <c:pt idx="114">
                  <c:v>10.12635768857667</c:v>
                </c:pt>
                <c:pt idx="115">
                  <c:v>10.12635768857667</c:v>
                </c:pt>
                <c:pt idx="116">
                  <c:v>10.12635768857667</c:v>
                </c:pt>
                <c:pt idx="117">
                  <c:v>10.12635768857667</c:v>
                </c:pt>
                <c:pt idx="118">
                  <c:v>10.12635768857667</c:v>
                </c:pt>
                <c:pt idx="119">
                  <c:v>10.12635768857667</c:v>
                </c:pt>
                <c:pt idx="120">
                  <c:v>10.12635768857667</c:v>
                </c:pt>
                <c:pt idx="121">
                  <c:v>10.12635768857667</c:v>
                </c:pt>
                <c:pt idx="122">
                  <c:v>10.12635768857667</c:v>
                </c:pt>
                <c:pt idx="123">
                  <c:v>10.12635768857667</c:v>
                </c:pt>
                <c:pt idx="124">
                  <c:v>10.12635768857667</c:v>
                </c:pt>
                <c:pt idx="125">
                  <c:v>10.12635768857667</c:v>
                </c:pt>
                <c:pt idx="126">
                  <c:v>10.12635768857667</c:v>
                </c:pt>
                <c:pt idx="127">
                  <c:v>10.12635768857667</c:v>
                </c:pt>
                <c:pt idx="128">
                  <c:v>10.12635768857667</c:v>
                </c:pt>
                <c:pt idx="129">
                  <c:v>10.12635768857667</c:v>
                </c:pt>
                <c:pt idx="130">
                  <c:v>10.12635768857667</c:v>
                </c:pt>
                <c:pt idx="131">
                  <c:v>10.12635768857667</c:v>
                </c:pt>
                <c:pt idx="132">
                  <c:v>10.12635768857667</c:v>
                </c:pt>
                <c:pt idx="133">
                  <c:v>10.12635768857667</c:v>
                </c:pt>
                <c:pt idx="134">
                  <c:v>10.12635768857667</c:v>
                </c:pt>
                <c:pt idx="135">
                  <c:v>10.12635768857667</c:v>
                </c:pt>
                <c:pt idx="136">
                  <c:v>10.12635768857667</c:v>
                </c:pt>
                <c:pt idx="137">
                  <c:v>10.12635768857667</c:v>
                </c:pt>
                <c:pt idx="138">
                  <c:v>10.12635768857667</c:v>
                </c:pt>
                <c:pt idx="139">
                  <c:v>10.12635768857667</c:v>
                </c:pt>
                <c:pt idx="140">
                  <c:v>10.12635768857667</c:v>
                </c:pt>
                <c:pt idx="141">
                  <c:v>10.12635768857667</c:v>
                </c:pt>
                <c:pt idx="142">
                  <c:v>10.12635768857667</c:v>
                </c:pt>
                <c:pt idx="143">
                  <c:v>10.12635768857667</c:v>
                </c:pt>
                <c:pt idx="144">
                  <c:v>10.12635768857667</c:v>
                </c:pt>
                <c:pt idx="145">
                  <c:v>10.12635768857667</c:v>
                </c:pt>
                <c:pt idx="146">
                  <c:v>10.12635768857667</c:v>
                </c:pt>
                <c:pt idx="147">
                  <c:v>10.12635768857667</c:v>
                </c:pt>
                <c:pt idx="148">
                  <c:v>10.12635768857667</c:v>
                </c:pt>
                <c:pt idx="149">
                  <c:v>10.12635768857667</c:v>
                </c:pt>
                <c:pt idx="150">
                  <c:v>10.12635768857667</c:v>
                </c:pt>
                <c:pt idx="151">
                  <c:v>10.12635768857667</c:v>
                </c:pt>
                <c:pt idx="152">
                  <c:v>10.12635768857667</c:v>
                </c:pt>
                <c:pt idx="153">
                  <c:v>10.12635768857667</c:v>
                </c:pt>
                <c:pt idx="154">
                  <c:v>10.12635768857667</c:v>
                </c:pt>
                <c:pt idx="155">
                  <c:v>10.12635768857667</c:v>
                </c:pt>
                <c:pt idx="156">
                  <c:v>10.12635768857667</c:v>
                </c:pt>
                <c:pt idx="157">
                  <c:v>10.12635768857667</c:v>
                </c:pt>
                <c:pt idx="158">
                  <c:v>10.12635768857667</c:v>
                </c:pt>
                <c:pt idx="159">
                  <c:v>10.12635768857667</c:v>
                </c:pt>
                <c:pt idx="160">
                  <c:v>10.12635768857667</c:v>
                </c:pt>
                <c:pt idx="161">
                  <c:v>10.12635768857667</c:v>
                </c:pt>
                <c:pt idx="162">
                  <c:v>10.12635768857667</c:v>
                </c:pt>
                <c:pt idx="163">
                  <c:v>10.12635768857667</c:v>
                </c:pt>
                <c:pt idx="164">
                  <c:v>10.12635768857667</c:v>
                </c:pt>
                <c:pt idx="165">
                  <c:v>10.12635768857667</c:v>
                </c:pt>
                <c:pt idx="166">
                  <c:v>10.12635768857667</c:v>
                </c:pt>
                <c:pt idx="167">
                  <c:v>10.12635768857667</c:v>
                </c:pt>
                <c:pt idx="168">
                  <c:v>10.12635768857667</c:v>
                </c:pt>
                <c:pt idx="169">
                  <c:v>10.12635768857667</c:v>
                </c:pt>
                <c:pt idx="170">
                  <c:v>10.12635768857667</c:v>
                </c:pt>
                <c:pt idx="171">
                  <c:v>10.12635768857667</c:v>
                </c:pt>
                <c:pt idx="172">
                  <c:v>10.12635768857667</c:v>
                </c:pt>
                <c:pt idx="173">
                  <c:v>10.12635768857667</c:v>
                </c:pt>
                <c:pt idx="174">
                  <c:v>10.12635768857667</c:v>
                </c:pt>
                <c:pt idx="175">
                  <c:v>10.12635768857667</c:v>
                </c:pt>
                <c:pt idx="176">
                  <c:v>10.12635768857667</c:v>
                </c:pt>
                <c:pt idx="177">
                  <c:v>10.12635768857667</c:v>
                </c:pt>
                <c:pt idx="178">
                  <c:v>10.12635768857667</c:v>
                </c:pt>
                <c:pt idx="179">
                  <c:v>10.12635768857667</c:v>
                </c:pt>
                <c:pt idx="180">
                  <c:v>10.12635768857667</c:v>
                </c:pt>
                <c:pt idx="181">
                  <c:v>10.12635768857667</c:v>
                </c:pt>
                <c:pt idx="182">
                  <c:v>10.12635768857667</c:v>
                </c:pt>
                <c:pt idx="183">
                  <c:v>10.12635768857667</c:v>
                </c:pt>
                <c:pt idx="184">
                  <c:v>10.12635768857667</c:v>
                </c:pt>
                <c:pt idx="185">
                  <c:v>10.12635768857667</c:v>
                </c:pt>
                <c:pt idx="186">
                  <c:v>10.12635768857667</c:v>
                </c:pt>
                <c:pt idx="187">
                  <c:v>10.12635768857667</c:v>
                </c:pt>
                <c:pt idx="188">
                  <c:v>10.12635768857667</c:v>
                </c:pt>
                <c:pt idx="189">
                  <c:v>10.12635768857667</c:v>
                </c:pt>
                <c:pt idx="190">
                  <c:v>10.12635768857667</c:v>
                </c:pt>
                <c:pt idx="191">
                  <c:v>10.12635768857667</c:v>
                </c:pt>
                <c:pt idx="192">
                  <c:v>10.12635768857667</c:v>
                </c:pt>
                <c:pt idx="193">
                  <c:v>10.12635768857667</c:v>
                </c:pt>
                <c:pt idx="194">
                  <c:v>10.12635768857667</c:v>
                </c:pt>
                <c:pt idx="195">
                  <c:v>10.12635768857667</c:v>
                </c:pt>
                <c:pt idx="196">
                  <c:v>10.12635768857667</c:v>
                </c:pt>
                <c:pt idx="197">
                  <c:v>10.12635768857667</c:v>
                </c:pt>
                <c:pt idx="198">
                  <c:v>10.12635768857667</c:v>
                </c:pt>
                <c:pt idx="199">
                  <c:v>10.12635768857667</c:v>
                </c:pt>
              </c:numCache>
            </c:numRef>
          </c:yVal>
          <c:smooth val="0"/>
        </c:ser>
        <c:ser>
          <c:idx val="4"/>
          <c:order val="7"/>
          <c:tx>
            <c:strRef>
              <c:f>Berechnung!$AH$4</c:f>
              <c:strCache>
                <c:ptCount val="1"/>
                <c:pt idx="0">
                  <c:v>LSL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Berechnung!$AH$5:$AH$204</c:f>
              <c:numCache>
                <c:formatCode>General</c:formatCode>
                <c:ptCount val="20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616512"/>
        <c:axId val="299617296"/>
      </c:scatterChart>
      <c:valAx>
        <c:axId val="299616512"/>
        <c:scaling>
          <c:orientation val="minMax"/>
        </c:scaling>
        <c:delete val="0"/>
        <c:axPos val="b"/>
        <c:title>
          <c:tx>
            <c:strRef>
              <c:f>'Eingabe und Diagramm'!$B$4</c:f>
              <c:strCache>
                <c:ptCount val="1"/>
                <c:pt idx="0">
                  <c:v>n</c:v>
                </c:pt>
              </c:strCache>
            </c:strRef>
          </c:tx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" sourceLinked="0"/>
        <c:majorTickMark val="cross"/>
        <c:minorTickMark val="out"/>
        <c:tickLblPos val="nextTo"/>
        <c:spPr>
          <a:ln w="3175" cap="flat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9617296"/>
        <c:crosses val="autoZero"/>
        <c:crossBetween val="midCat"/>
      </c:valAx>
      <c:valAx>
        <c:axId val="299617296"/>
        <c:scaling>
          <c:orientation val="minMax"/>
        </c:scaling>
        <c:delete val="0"/>
        <c:axPos val="l"/>
        <c:title>
          <c:tx>
            <c:strRef>
              <c:f>'Eingabe und Diagramm'!$O$14</c:f>
              <c:strCache>
                <c:ptCount val="1"/>
                <c:pt idx="0">
                  <c:v>mm</c:v>
                </c:pt>
              </c:strCache>
            </c:strRef>
          </c:tx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.0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9616512"/>
        <c:crosses val="autoZero"/>
        <c:crossBetween val="midCat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09440377741727"/>
          <c:y val="0.17551971560959206"/>
          <c:w val="0.13028155297487731"/>
          <c:h val="0.64528643221034521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15875" cmpd="sng">
      <a:solidFill>
        <a:schemeClr val="tx1"/>
      </a:solidFill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Histogramm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943122333172041"/>
          <c:y val="0.15305568474001849"/>
          <c:w val="0.78598184443261299"/>
          <c:h val="0.70984978809749166"/>
        </c:manualLayout>
      </c:layout>
      <c:scatterChart>
        <c:scatterStyle val="smoothMarker"/>
        <c:varyColors val="0"/>
        <c:ser>
          <c:idx val="9"/>
          <c:order val="0"/>
          <c:tx>
            <c:v>Untere Grenze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Berechnung!$R$87:$R$109</c:f>
              <c:numCache>
                <c:formatCode>0.00</c:formatCode>
                <c:ptCount val="23"/>
                <c:pt idx="0">
                  <c:v>9.6719869148686772</c:v>
                </c:pt>
                <c:pt idx="1">
                  <c:v>9.8108224290572306</c:v>
                </c:pt>
                <c:pt idx="2">
                  <c:v>9.9370365328650063</c:v>
                </c:pt>
                <c:pt idx="3">
                  <c:v>10.050629226292005</c:v>
                </c:pt>
                <c:pt idx="4">
                  <c:v>10.151600509338225</c:v>
                </c:pt>
                <c:pt idx="5">
                  <c:v>10.239950382003668</c:v>
                </c:pt>
                <c:pt idx="6">
                  <c:v>10.315678844288334</c:v>
                </c:pt>
                <c:pt idx="7">
                  <c:v>10.378785896192221</c:v>
                </c:pt>
                <c:pt idx="8">
                  <c:v>10.429271537715332</c:v>
                </c:pt>
                <c:pt idx="9">
                  <c:v>10.467135768857665</c:v>
                </c:pt>
                <c:pt idx="10">
                  <c:v>10.49237858961922</c:v>
                </c:pt>
                <c:pt idx="11">
                  <c:v>10.504999999999997</c:v>
                </c:pt>
                <c:pt idx="12">
                  <c:v>10.517621410380775</c:v>
                </c:pt>
                <c:pt idx="13">
                  <c:v>10.54286423114233</c:v>
                </c:pt>
                <c:pt idx="14">
                  <c:v>10.580728462284663</c:v>
                </c:pt>
                <c:pt idx="15">
                  <c:v>10.631214103807773</c:v>
                </c:pt>
                <c:pt idx="16">
                  <c:v>10.694321155711661</c:v>
                </c:pt>
                <c:pt idx="17">
                  <c:v>10.770049617996326</c:v>
                </c:pt>
                <c:pt idx="18">
                  <c:v>10.858399490661769</c:v>
                </c:pt>
                <c:pt idx="19">
                  <c:v>10.95937077370799</c:v>
                </c:pt>
                <c:pt idx="20">
                  <c:v>11.072963467134988</c:v>
                </c:pt>
                <c:pt idx="21">
                  <c:v>11.199177570942764</c:v>
                </c:pt>
                <c:pt idx="22">
                  <c:v>11.338013085131317</c:v>
                </c:pt>
              </c:numCache>
            </c:numRef>
          </c:xVal>
          <c:yVal>
            <c:numRef>
              <c:f>Berechnung!$S$87:$S$109</c:f>
              <c:numCache>
                <c:formatCode>0.00</c:formatCode>
                <c:ptCount val="23"/>
                <c:pt idx="0">
                  <c:v>1.0986727729550035E-9</c:v>
                </c:pt>
                <c:pt idx="1">
                  <c:v>8.5329291399517643E-7</c:v>
                </c:pt>
                <c:pt idx="2">
                  <c:v>1.2663989700586982E-4</c:v>
                </c:pt>
                <c:pt idx="3">
                  <c:v>4.8481264110204732E-3</c:v>
                </c:pt>
                <c:pt idx="4">
                  <c:v>6.2714477575621028E-2</c:v>
                </c:pt>
                <c:pt idx="5">
                  <c:v>0.34848400181499511</c:v>
                </c:pt>
                <c:pt idx="6">
                  <c:v>1.0261737140181011</c:v>
                </c:pt>
                <c:pt idx="7">
                  <c:v>1.9171448928375316</c:v>
                </c:pt>
                <c:pt idx="8">
                  <c:v>2.6401534601814518</c:v>
                </c:pt>
                <c:pt idx="9">
                  <c:v>3.0217527515100766</c:v>
                </c:pt>
                <c:pt idx="10">
                  <c:v>3.1450728207171825</c:v>
                </c:pt>
                <c:pt idx="11">
                  <c:v>3.1608375638353627</c:v>
                </c:pt>
                <c:pt idx="12">
                  <c:v>3.1450728207171825</c:v>
                </c:pt>
                <c:pt idx="13">
                  <c:v>3.0217527515100766</c:v>
                </c:pt>
                <c:pt idx="14">
                  <c:v>2.6401534601814518</c:v>
                </c:pt>
                <c:pt idx="15">
                  <c:v>1.9171448928375316</c:v>
                </c:pt>
                <c:pt idx="16">
                  <c:v>1.0261737140181011</c:v>
                </c:pt>
                <c:pt idx="17">
                  <c:v>0.34848400181499511</c:v>
                </c:pt>
                <c:pt idx="18">
                  <c:v>6.2714477575621028E-2</c:v>
                </c:pt>
                <c:pt idx="19">
                  <c:v>4.8481264110204732E-3</c:v>
                </c:pt>
                <c:pt idx="20">
                  <c:v>1.2663989700586982E-4</c:v>
                </c:pt>
                <c:pt idx="21">
                  <c:v>8.5329291399517643E-7</c:v>
                </c:pt>
                <c:pt idx="22">
                  <c:v>1.0986727729550035E-9</c:v>
                </c:pt>
              </c:numCache>
            </c:numRef>
          </c:yVal>
          <c:smooth val="1"/>
        </c:ser>
        <c:ser>
          <c:idx val="10"/>
          <c:order val="1"/>
          <c:tx>
            <c:strRef>
              <c:f>Berechnung!$Y$63</c:f>
              <c:strCache>
                <c:ptCount val="1"/>
                <c:pt idx="0">
                  <c:v>h(x)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Berechnung!$T$64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pl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Berechnung!$Q$64:$Q$83</c:f>
              <c:numCache>
                <c:formatCode>0.0000</c:formatCode>
                <c:ptCount val="20"/>
                <c:pt idx="0">
                  <c:v>10.3</c:v>
                </c:pt>
                <c:pt idx="1">
                  <c:v>10.400000010000001</c:v>
                </c:pt>
                <c:pt idx="2">
                  <c:v>10.500000020000002</c:v>
                </c:pt>
                <c:pt idx="3">
                  <c:v>10.600000030000002</c:v>
                </c:pt>
                <c:pt idx="4">
                  <c:v>10.700000040000003</c:v>
                </c:pt>
                <c:pt idx="5">
                  <c:v>10.700000040000003</c:v>
                </c:pt>
                <c:pt idx="6">
                  <c:v>10.700000040000003</c:v>
                </c:pt>
                <c:pt idx="7">
                  <c:v>10.700000040000003</c:v>
                </c:pt>
                <c:pt idx="8">
                  <c:v>10.700000040000003</c:v>
                </c:pt>
                <c:pt idx="9">
                  <c:v>10.700000040000003</c:v>
                </c:pt>
                <c:pt idx="10">
                  <c:v>10.700000040000003</c:v>
                </c:pt>
                <c:pt idx="11">
                  <c:v>10.700000040000003</c:v>
                </c:pt>
                <c:pt idx="12">
                  <c:v>10.700000040000003</c:v>
                </c:pt>
                <c:pt idx="13">
                  <c:v>10.700000040000003</c:v>
                </c:pt>
                <c:pt idx="14">
                  <c:v>10.700000040000003</c:v>
                </c:pt>
                <c:pt idx="15">
                  <c:v>10.700000040000003</c:v>
                </c:pt>
                <c:pt idx="16">
                  <c:v>10.700000040000003</c:v>
                </c:pt>
                <c:pt idx="17">
                  <c:v>10.700000040000003</c:v>
                </c:pt>
                <c:pt idx="18">
                  <c:v>10.700000040000003</c:v>
                </c:pt>
                <c:pt idx="19">
                  <c:v>10.700000040000003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</c:ser>
        <c:ser>
          <c:idx val="11"/>
          <c:order val="2"/>
          <c:tx>
            <c:v>Oben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Berechnung!$R$64:$R$83</c:f>
              <c:numCache>
                <c:formatCode>0.0000</c:formatCode>
                <c:ptCount val="20"/>
                <c:pt idx="0">
                  <c:v>10.4</c:v>
                </c:pt>
                <c:pt idx="1">
                  <c:v>10.500000010000001</c:v>
                </c:pt>
                <c:pt idx="2">
                  <c:v>10.600000020000001</c:v>
                </c:pt>
                <c:pt idx="3">
                  <c:v>10.700000030000002</c:v>
                </c:pt>
                <c:pt idx="4">
                  <c:v>10.800000040000002</c:v>
                </c:pt>
                <c:pt idx="5">
                  <c:v>10.800000040000002</c:v>
                </c:pt>
                <c:pt idx="6">
                  <c:v>10.800000040000002</c:v>
                </c:pt>
                <c:pt idx="7">
                  <c:v>10.800000040000002</c:v>
                </c:pt>
                <c:pt idx="8">
                  <c:v>10.800000040000002</c:v>
                </c:pt>
                <c:pt idx="9">
                  <c:v>10.800000040000002</c:v>
                </c:pt>
                <c:pt idx="10">
                  <c:v>10.800000040000002</c:v>
                </c:pt>
                <c:pt idx="11">
                  <c:v>10.800000040000002</c:v>
                </c:pt>
                <c:pt idx="12">
                  <c:v>10.800000040000002</c:v>
                </c:pt>
                <c:pt idx="13">
                  <c:v>10.800000040000002</c:v>
                </c:pt>
                <c:pt idx="14">
                  <c:v>10.800000040000002</c:v>
                </c:pt>
                <c:pt idx="15">
                  <c:v>10.800000040000002</c:v>
                </c:pt>
                <c:pt idx="16">
                  <c:v>10.800000040000002</c:v>
                </c:pt>
                <c:pt idx="17">
                  <c:v>10.800000040000002</c:v>
                </c:pt>
                <c:pt idx="18">
                  <c:v>10.800000040000002</c:v>
                </c:pt>
                <c:pt idx="19">
                  <c:v>10.800000040000002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</c:ser>
        <c:ser>
          <c:idx val="12"/>
          <c:order val="3"/>
          <c:tx>
            <c:v>OGW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Berechnung!$W$87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9966"/>
                </a:solidFill>
                <a:prstDash val="solid"/>
              </a:ln>
            </c:spPr>
          </c:errBars>
          <c:xVal>
            <c:numRef>
              <c:f>Berechnung!$V$87</c:f>
              <c:numCache>
                <c:formatCode>#\ ##0.0000_ ;\-#\ ##0.0000\ </c:formatCode>
                <c:ptCount val="1"/>
                <c:pt idx="0">
                  <c:v>12</c:v>
                </c:pt>
              </c:numCache>
            </c:numRef>
          </c:xVal>
          <c:yVal>
            <c:numRef>
              <c:f>Berechnung!$W$87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13"/>
          <c:order val="4"/>
          <c:tx>
            <c:v>UGW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Berechnung!$W$88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9966"/>
                </a:solidFill>
                <a:prstDash val="lgDash"/>
              </a:ln>
            </c:spPr>
          </c:errBars>
          <c:xVal>
            <c:numRef>
              <c:f>Berechnung!$V$88</c:f>
              <c:numCache>
                <c:formatCode>#\ ##0.0000_ ;\-#\ 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Berechnung!$W$88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16"/>
          <c:order val="5"/>
          <c:tx>
            <c:strRef>
              <c:f>Berechnung!$U$91</c:f>
              <c:strCache>
                <c:ptCount val="1"/>
                <c:pt idx="0">
                  <c:v>mid µ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cust"/>
            <c:noEndCap val="0"/>
            <c:minus>
              <c:numRef>
                <c:f>Berechnung!$W$91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25400">
                <a:solidFill>
                  <a:srgbClr val="339966"/>
                </a:solidFill>
                <a:prstDash val="solid"/>
              </a:ln>
            </c:spPr>
          </c:errBars>
          <c:xVal>
            <c:numRef>
              <c:f>Berechnung!$V$91</c:f>
              <c:numCache>
                <c:formatCode>#\ ##0.0000_ ;\-#\ ##0.0000\ </c:formatCode>
                <c:ptCount val="1"/>
                <c:pt idx="0">
                  <c:v>10.504999999999997</c:v>
                </c:pt>
              </c:numCache>
            </c:numRef>
          </c:xVal>
          <c:yVal>
            <c:numRef>
              <c:f>Berechnung!$W$91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0"/>
          <c:order val="6"/>
          <c:tx>
            <c:v>Untere Grenze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Berechnung!$R$87:$R$109</c:f>
              <c:numCache>
                <c:formatCode>0.00</c:formatCode>
                <c:ptCount val="23"/>
                <c:pt idx="0">
                  <c:v>9.6719869148686772</c:v>
                </c:pt>
                <c:pt idx="1">
                  <c:v>9.8108224290572306</c:v>
                </c:pt>
                <c:pt idx="2">
                  <c:v>9.9370365328650063</c:v>
                </c:pt>
                <c:pt idx="3">
                  <c:v>10.050629226292005</c:v>
                </c:pt>
                <c:pt idx="4">
                  <c:v>10.151600509338225</c:v>
                </c:pt>
                <c:pt idx="5">
                  <c:v>10.239950382003668</c:v>
                </c:pt>
                <c:pt idx="6">
                  <c:v>10.315678844288334</c:v>
                </c:pt>
                <c:pt idx="7">
                  <c:v>10.378785896192221</c:v>
                </c:pt>
                <c:pt idx="8">
                  <c:v>10.429271537715332</c:v>
                </c:pt>
                <c:pt idx="9">
                  <c:v>10.467135768857665</c:v>
                </c:pt>
                <c:pt idx="10">
                  <c:v>10.49237858961922</c:v>
                </c:pt>
                <c:pt idx="11">
                  <c:v>10.504999999999997</c:v>
                </c:pt>
                <c:pt idx="12">
                  <c:v>10.517621410380775</c:v>
                </c:pt>
                <c:pt idx="13">
                  <c:v>10.54286423114233</c:v>
                </c:pt>
                <c:pt idx="14">
                  <c:v>10.580728462284663</c:v>
                </c:pt>
                <c:pt idx="15">
                  <c:v>10.631214103807773</c:v>
                </c:pt>
                <c:pt idx="16">
                  <c:v>10.694321155711661</c:v>
                </c:pt>
                <c:pt idx="17">
                  <c:v>10.770049617996326</c:v>
                </c:pt>
                <c:pt idx="18">
                  <c:v>10.858399490661769</c:v>
                </c:pt>
                <c:pt idx="19">
                  <c:v>10.95937077370799</c:v>
                </c:pt>
                <c:pt idx="20">
                  <c:v>11.072963467134988</c:v>
                </c:pt>
                <c:pt idx="21">
                  <c:v>11.199177570942764</c:v>
                </c:pt>
                <c:pt idx="22">
                  <c:v>11.338013085131317</c:v>
                </c:pt>
              </c:numCache>
            </c:numRef>
          </c:xVal>
          <c:yVal>
            <c:numRef>
              <c:f>Berechnung!$S$87:$S$109</c:f>
              <c:numCache>
                <c:formatCode>0.00</c:formatCode>
                <c:ptCount val="23"/>
                <c:pt idx="0">
                  <c:v>1.0986727729550035E-9</c:v>
                </c:pt>
                <c:pt idx="1">
                  <c:v>8.5329291399517643E-7</c:v>
                </c:pt>
                <c:pt idx="2">
                  <c:v>1.2663989700586982E-4</c:v>
                </c:pt>
                <c:pt idx="3">
                  <c:v>4.8481264110204732E-3</c:v>
                </c:pt>
                <c:pt idx="4">
                  <c:v>6.2714477575621028E-2</c:v>
                </c:pt>
                <c:pt idx="5">
                  <c:v>0.34848400181499511</c:v>
                </c:pt>
                <c:pt idx="6">
                  <c:v>1.0261737140181011</c:v>
                </c:pt>
                <c:pt idx="7">
                  <c:v>1.9171448928375316</c:v>
                </c:pt>
                <c:pt idx="8">
                  <c:v>2.6401534601814518</c:v>
                </c:pt>
                <c:pt idx="9">
                  <c:v>3.0217527515100766</c:v>
                </c:pt>
                <c:pt idx="10">
                  <c:v>3.1450728207171825</c:v>
                </c:pt>
                <c:pt idx="11">
                  <c:v>3.1608375638353627</c:v>
                </c:pt>
                <c:pt idx="12">
                  <c:v>3.1450728207171825</c:v>
                </c:pt>
                <c:pt idx="13">
                  <c:v>3.0217527515100766</c:v>
                </c:pt>
                <c:pt idx="14">
                  <c:v>2.6401534601814518</c:v>
                </c:pt>
                <c:pt idx="15">
                  <c:v>1.9171448928375316</c:v>
                </c:pt>
                <c:pt idx="16">
                  <c:v>1.0261737140181011</c:v>
                </c:pt>
                <c:pt idx="17">
                  <c:v>0.34848400181499511</c:v>
                </c:pt>
                <c:pt idx="18">
                  <c:v>6.2714477575621028E-2</c:v>
                </c:pt>
                <c:pt idx="19">
                  <c:v>4.8481264110204732E-3</c:v>
                </c:pt>
                <c:pt idx="20">
                  <c:v>1.2663989700586982E-4</c:v>
                </c:pt>
                <c:pt idx="21">
                  <c:v>8.5329291399517643E-7</c:v>
                </c:pt>
                <c:pt idx="22">
                  <c:v>1.0986727729550035E-9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619256"/>
        <c:axId val="299614944"/>
      </c:scatterChart>
      <c:scatterChart>
        <c:scatterStyle val="lineMarker"/>
        <c:varyColors val="0"/>
        <c:ser>
          <c:idx val="1"/>
          <c:order val="7"/>
          <c:tx>
            <c:strRef>
              <c:f>Berechnung!$Y$63</c:f>
              <c:strCache>
                <c:ptCount val="1"/>
                <c:pt idx="0">
                  <c:v>h(x)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Berechnung!$T$64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pl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Berechnung!$Q$64:$Q$83</c:f>
              <c:numCache>
                <c:formatCode>0.0000</c:formatCode>
                <c:ptCount val="20"/>
                <c:pt idx="0">
                  <c:v>10.3</c:v>
                </c:pt>
                <c:pt idx="1">
                  <c:v>10.400000010000001</c:v>
                </c:pt>
                <c:pt idx="2">
                  <c:v>10.500000020000002</c:v>
                </c:pt>
                <c:pt idx="3">
                  <c:v>10.600000030000002</c:v>
                </c:pt>
                <c:pt idx="4">
                  <c:v>10.700000040000003</c:v>
                </c:pt>
                <c:pt idx="5">
                  <c:v>10.700000040000003</c:v>
                </c:pt>
                <c:pt idx="6">
                  <c:v>10.700000040000003</c:v>
                </c:pt>
                <c:pt idx="7">
                  <c:v>10.700000040000003</c:v>
                </c:pt>
                <c:pt idx="8">
                  <c:v>10.700000040000003</c:v>
                </c:pt>
                <c:pt idx="9">
                  <c:v>10.700000040000003</c:v>
                </c:pt>
                <c:pt idx="10">
                  <c:v>10.700000040000003</c:v>
                </c:pt>
                <c:pt idx="11">
                  <c:v>10.700000040000003</c:v>
                </c:pt>
                <c:pt idx="12">
                  <c:v>10.700000040000003</c:v>
                </c:pt>
                <c:pt idx="13">
                  <c:v>10.700000040000003</c:v>
                </c:pt>
                <c:pt idx="14">
                  <c:v>10.700000040000003</c:v>
                </c:pt>
                <c:pt idx="15">
                  <c:v>10.700000040000003</c:v>
                </c:pt>
                <c:pt idx="16">
                  <c:v>10.700000040000003</c:v>
                </c:pt>
                <c:pt idx="17">
                  <c:v>10.700000040000003</c:v>
                </c:pt>
                <c:pt idx="18">
                  <c:v>10.700000040000003</c:v>
                </c:pt>
                <c:pt idx="19">
                  <c:v>10.700000040000003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</c:ser>
        <c:ser>
          <c:idx val="2"/>
          <c:order val="8"/>
          <c:tx>
            <c:v>Oben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Berechnung!$R$64:$R$83</c:f>
              <c:numCache>
                <c:formatCode>0.0000</c:formatCode>
                <c:ptCount val="20"/>
                <c:pt idx="0">
                  <c:v>10.4</c:v>
                </c:pt>
                <c:pt idx="1">
                  <c:v>10.500000010000001</c:v>
                </c:pt>
                <c:pt idx="2">
                  <c:v>10.600000020000001</c:v>
                </c:pt>
                <c:pt idx="3">
                  <c:v>10.700000030000002</c:v>
                </c:pt>
                <c:pt idx="4">
                  <c:v>10.800000040000002</c:v>
                </c:pt>
                <c:pt idx="5">
                  <c:v>10.800000040000002</c:v>
                </c:pt>
                <c:pt idx="6">
                  <c:v>10.800000040000002</c:v>
                </c:pt>
                <c:pt idx="7">
                  <c:v>10.800000040000002</c:v>
                </c:pt>
                <c:pt idx="8">
                  <c:v>10.800000040000002</c:v>
                </c:pt>
                <c:pt idx="9">
                  <c:v>10.800000040000002</c:v>
                </c:pt>
                <c:pt idx="10">
                  <c:v>10.800000040000002</c:v>
                </c:pt>
                <c:pt idx="11">
                  <c:v>10.800000040000002</c:v>
                </c:pt>
                <c:pt idx="12">
                  <c:v>10.800000040000002</c:v>
                </c:pt>
                <c:pt idx="13">
                  <c:v>10.800000040000002</c:v>
                </c:pt>
                <c:pt idx="14">
                  <c:v>10.800000040000002</c:v>
                </c:pt>
                <c:pt idx="15">
                  <c:v>10.800000040000002</c:v>
                </c:pt>
                <c:pt idx="16">
                  <c:v>10.800000040000002</c:v>
                </c:pt>
                <c:pt idx="17">
                  <c:v>10.800000040000002</c:v>
                </c:pt>
                <c:pt idx="18">
                  <c:v>10.800000040000002</c:v>
                </c:pt>
                <c:pt idx="19">
                  <c:v>10.800000040000002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</c:ser>
        <c:ser>
          <c:idx val="3"/>
          <c:order val="9"/>
          <c:tx>
            <c:strRef>
              <c:f>Berechnung!$U$87</c:f>
              <c:strCache>
                <c:ptCount val="1"/>
                <c:pt idx="0">
                  <c:v>USL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minus>
              <c:numRef>
                <c:f>Berechnung!$W$87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Berechnung!$V$87</c:f>
              <c:numCache>
                <c:formatCode>#\ ##0.0000_ ;\-#\ ##0.0000\ </c:formatCode>
                <c:ptCount val="1"/>
                <c:pt idx="0">
                  <c:v>12</c:v>
                </c:pt>
              </c:numCache>
            </c:numRef>
          </c:xVal>
          <c:yVal>
            <c:numRef>
              <c:f>Berechnung!$W$87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4"/>
          <c:order val="10"/>
          <c:tx>
            <c:strRef>
              <c:f>Berechnung!$U$88</c:f>
              <c:strCache>
                <c:ptCount val="1"/>
                <c:pt idx="0">
                  <c:v>LSL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minus>
              <c:numRef>
                <c:f>Berechnung!$W$88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Berechnung!$V$88</c:f>
              <c:numCache>
                <c:formatCode>#\ ##0.0000_ ;\-#\ 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Berechnung!$W$88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5"/>
          <c:order val="11"/>
          <c:tx>
            <c:strRef>
              <c:f>Berechnung!$U$89</c:f>
              <c:strCache>
                <c:ptCount val="1"/>
                <c:pt idx="0">
                  <c:v>+ 3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minus>
              <c:numRef>
                <c:f>Berechnung!$W$89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66FF"/>
                </a:solidFill>
                <a:prstDash val="sysDash"/>
              </a:ln>
            </c:spPr>
          </c:errBars>
          <c:xVal>
            <c:numRef>
              <c:f>Berechnung!$V$89</c:f>
              <c:numCache>
                <c:formatCode>#\ ##0.0000_ ;\-#\ ##0.0000\ </c:formatCode>
                <c:ptCount val="1"/>
                <c:pt idx="0">
                  <c:v>10.883642311423325</c:v>
                </c:pt>
              </c:numCache>
            </c:numRef>
          </c:xVal>
          <c:yVal>
            <c:numRef>
              <c:f>Berechnung!$W$89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6"/>
          <c:order val="12"/>
          <c:tx>
            <c:strRef>
              <c:f>Berechnung!$U$90</c:f>
              <c:strCache>
                <c:ptCount val="1"/>
                <c:pt idx="0">
                  <c:v>- 3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minus>
              <c:numRef>
                <c:f>Berechnung!$W$90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66FF"/>
                </a:solidFill>
                <a:prstDash val="sysDash"/>
              </a:ln>
            </c:spPr>
          </c:errBars>
          <c:xVal>
            <c:numRef>
              <c:f>Berechnung!$V$90</c:f>
              <c:numCache>
                <c:formatCode>#\ ##0.0000_ ;\-#\ ##0.0000\ </c:formatCode>
                <c:ptCount val="1"/>
                <c:pt idx="0">
                  <c:v>10.12635768857667</c:v>
                </c:pt>
              </c:numCache>
            </c:numRef>
          </c:xVal>
          <c:yVal>
            <c:numRef>
              <c:f>Berechnung!$W$90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7"/>
          <c:order val="13"/>
          <c:tx>
            <c:strRef>
              <c:f>Berechnung!$U$91</c:f>
              <c:strCache>
                <c:ptCount val="1"/>
                <c:pt idx="0">
                  <c:v>mid µ</c:v>
                </c:pt>
              </c:strCache>
            </c:strRef>
          </c:tx>
          <c:marker>
            <c:spPr>
              <a:ln>
                <a:noFill/>
              </a:ln>
            </c:spPr>
          </c:marker>
          <c:dPt>
            <c:idx val="0"/>
            <c:marker>
              <c:symbol val="none"/>
            </c:marker>
            <c:bubble3D val="0"/>
            <c:spPr>
              <a:ln>
                <a:noFill/>
              </a:ln>
            </c:spPr>
          </c:dPt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Berechnung!$W$92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ysDot"/>
              </a:ln>
            </c:spPr>
          </c:errBars>
          <c:xVal>
            <c:numRef>
              <c:f>Berechnung!$V$92</c:f>
              <c:numCache>
                <c:formatCode>#\ ##0.0000_ ;\-#\ ##0.0000\ </c:formatCode>
                <c:ptCount val="1"/>
                <c:pt idx="0">
                  <c:v>11</c:v>
                </c:pt>
              </c:numCache>
            </c:numRef>
          </c:xVal>
          <c:yVal>
            <c:numRef>
              <c:f>Berechnung!$W$92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619256"/>
        <c:axId val="299614944"/>
      </c:scatterChart>
      <c:valAx>
        <c:axId val="299619256"/>
        <c:scaling>
          <c:orientation val="minMax"/>
        </c:scaling>
        <c:delete val="0"/>
        <c:axPos val="b"/>
        <c:title>
          <c:tx>
            <c:strRef>
              <c:f>'Eingabe und Diagramm'!$O$14</c:f>
              <c:strCache>
                <c:ptCount val="1"/>
                <c:pt idx="0">
                  <c:v>mm</c:v>
                </c:pt>
              </c:strCache>
            </c:strRef>
          </c:tx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9614944"/>
        <c:crosses val="autoZero"/>
        <c:crossBetween val="midCat"/>
      </c:valAx>
      <c:valAx>
        <c:axId val="299614944"/>
        <c:scaling>
          <c:orientation val="minMax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96192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5875" cmpd="sng">
      <a:solidFill>
        <a:schemeClr val="tx1"/>
      </a:solidFill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Wahrscheinlichkeitsnetz</a:t>
            </a:r>
            <a:br>
              <a:rPr lang="de-AT"/>
            </a:br>
            <a:r>
              <a:rPr lang="de-AT"/>
              <a:t>Probability 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336760762306259"/>
          <c:y val="0.15864497688430418"/>
          <c:w val="0.81453675551405758"/>
          <c:h val="0.72264258259438952"/>
        </c:manualLayout>
      </c:layout>
      <c:scatterChart>
        <c:scatterStyle val="lineMarker"/>
        <c:varyColors val="0"/>
        <c:ser>
          <c:idx val="0"/>
          <c:order val="0"/>
          <c:tx>
            <c:v>Versuch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0"/>
            <c:minus>
              <c:numRef>
                <c:f>Berechnung!$AY$5</c:f>
                <c:numCache>
                  <c:formatCode>General</c:formatCode>
                  <c:ptCount val="1"/>
                  <c:pt idx="0">
                    <c:v>6</c:v>
                  </c:pt>
                </c:numCache>
              </c:numRef>
            </c:minus>
            <c:spPr>
              <a:ln w="12700">
                <a:solidFill>
                  <a:srgbClr val="666699"/>
                </a:solidFill>
                <a:prstDash val="sysDash"/>
              </a:ln>
            </c:spPr>
          </c:errBars>
          <c:xVal>
            <c:numRef>
              <c:f>Berechnung!$AW$5:$AW$16</c:f>
              <c:numCache>
                <c:formatCode>0.000</c:formatCode>
                <c:ptCount val="12"/>
                <c:pt idx="0">
                  <c:v>9.7477153771533445</c:v>
                </c:pt>
                <c:pt idx="1">
                  <c:v>9.8739294809611202</c:v>
                </c:pt>
                <c:pt idx="2">
                  <c:v>10.000143584768896</c:v>
                </c:pt>
                <c:pt idx="3">
                  <c:v>10.252571792384446</c:v>
                </c:pt>
                <c:pt idx="4">
                  <c:v>10.378785896192221</c:v>
                </c:pt>
                <c:pt idx="5">
                  <c:v>10.631214103807773</c:v>
                </c:pt>
                <c:pt idx="6">
                  <c:v>10.757428207615549</c:v>
                </c:pt>
                <c:pt idx="7">
                  <c:v>11.009856415231098</c:v>
                </c:pt>
                <c:pt idx="8">
                  <c:v>11.136070519038874</c:v>
                </c:pt>
                <c:pt idx="9">
                  <c:v>11.26228462284665</c:v>
                </c:pt>
                <c:pt idx="10">
                  <c:v>10.12635768857667</c:v>
                </c:pt>
                <c:pt idx="11">
                  <c:v>10.883642311423325</c:v>
                </c:pt>
              </c:numCache>
            </c:numRef>
          </c:xVal>
          <c:yVal>
            <c:numRef>
              <c:f>Berechnung!$AX$5:$AX$16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Ausgleichskurve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857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Berechnung!$BL$5:$BL$7</c:f>
              <c:numCache>
                <c:formatCode>0.0000</c:formatCode>
                <c:ptCount val="3"/>
                <c:pt idx="0">
                  <c:v>10.883642311423325</c:v>
                </c:pt>
                <c:pt idx="1">
                  <c:v>10.504999999999997</c:v>
                </c:pt>
                <c:pt idx="2">
                  <c:v>10.12635768857667</c:v>
                </c:pt>
              </c:numCache>
            </c:numRef>
          </c:xVal>
          <c:yVal>
            <c:numRef>
              <c:f>Berechnung!$BM$5:$BM$7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-3</c:v>
                </c:pt>
              </c:numCache>
            </c:numRef>
          </c:yVal>
          <c:smooth val="0"/>
        </c:ser>
        <c:ser>
          <c:idx val="2"/>
          <c:order val="2"/>
          <c:tx>
            <c:v>Wert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noFill/>
              </a:ln>
            </c:spPr>
          </c:marker>
          <c:xVal>
            <c:numRef>
              <c:f>Berechnung!$BD$5:$BD$204</c:f>
              <c:numCache>
                <c:formatCode>0.000</c:formatCode>
                <c:ptCount val="200"/>
                <c:pt idx="0">
                  <c:v>10.3</c:v>
                </c:pt>
                <c:pt idx="1">
                  <c:v>10.3</c:v>
                </c:pt>
                <c:pt idx="2">
                  <c:v>10.33</c:v>
                </c:pt>
                <c:pt idx="3">
                  <c:v>10.4</c:v>
                </c:pt>
                <c:pt idx="4">
                  <c:v>10.4</c:v>
                </c:pt>
                <c:pt idx="5">
                  <c:v>10.4</c:v>
                </c:pt>
                <c:pt idx="6">
                  <c:v>10.4</c:v>
                </c:pt>
                <c:pt idx="7">
                  <c:v>10.4</c:v>
                </c:pt>
                <c:pt idx="8">
                  <c:v>10.4</c:v>
                </c:pt>
                <c:pt idx="9">
                  <c:v>10.5</c:v>
                </c:pt>
                <c:pt idx="10">
                  <c:v>10.5</c:v>
                </c:pt>
                <c:pt idx="11">
                  <c:v>10.5</c:v>
                </c:pt>
                <c:pt idx="12">
                  <c:v>10.5</c:v>
                </c:pt>
                <c:pt idx="13">
                  <c:v>10.5</c:v>
                </c:pt>
                <c:pt idx="14">
                  <c:v>10.5</c:v>
                </c:pt>
                <c:pt idx="15">
                  <c:v>10.5</c:v>
                </c:pt>
                <c:pt idx="16">
                  <c:v>10.5</c:v>
                </c:pt>
                <c:pt idx="17">
                  <c:v>10.6</c:v>
                </c:pt>
                <c:pt idx="18">
                  <c:v>10.6</c:v>
                </c:pt>
                <c:pt idx="19">
                  <c:v>10.6</c:v>
                </c:pt>
                <c:pt idx="20">
                  <c:v>10.6</c:v>
                </c:pt>
                <c:pt idx="21">
                  <c:v>10.6</c:v>
                </c:pt>
                <c:pt idx="22">
                  <c:v>10.6</c:v>
                </c:pt>
                <c:pt idx="23">
                  <c:v>10.7</c:v>
                </c:pt>
                <c:pt idx="24">
                  <c:v>10.7</c:v>
                </c:pt>
                <c:pt idx="25">
                  <c:v>10.8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xVal>
          <c:yVal>
            <c:numRef>
              <c:f>Berechnung!$BJ$5:$BJ$204</c:f>
              <c:numCache>
                <c:formatCode>0.0000</c:formatCode>
                <c:ptCount val="200"/>
                <c:pt idx="0">
                  <c:v>-1.9346740800992501</c:v>
                </c:pt>
                <c:pt idx="1">
                  <c:v>-1.5188991668172815</c:v>
                </c:pt>
                <c:pt idx="2">
                  <c:v>-1.2687073653921925</c:v>
                </c:pt>
                <c:pt idx="3">
                  <c:v>-1.0796388586671013</c:v>
                </c:pt>
                <c:pt idx="4">
                  <c:v>-0.92289753360667026</c:v>
                </c:pt>
                <c:pt idx="5">
                  <c:v>-0.78608416291719951</c:v>
                </c:pt>
                <c:pt idx="6">
                  <c:v>-0.66261719051200552</c:v>
                </c:pt>
                <c:pt idx="7">
                  <c:v>-0.54852228269809788</c:v>
                </c:pt>
                <c:pt idx="8">
                  <c:v>-0.44116864743261919</c:v>
                </c:pt>
                <c:pt idx="9">
                  <c:v>-0.33868308463365293</c:v>
                </c:pt>
                <c:pt idx="10">
                  <c:v>-0.23964424611500856</c:v>
                </c:pt>
                <c:pt idx="11">
                  <c:v>-0.14290699209399252</c:v>
                </c:pt>
                <c:pt idx="12">
                  <c:v>-4.7491867120323737E-2</c:v>
                </c:pt>
                <c:pt idx="13">
                  <c:v>4.7491867120323737E-2</c:v>
                </c:pt>
                <c:pt idx="14">
                  <c:v>0.14290699209399238</c:v>
                </c:pt>
                <c:pt idx="15">
                  <c:v>0.23964424611500856</c:v>
                </c:pt>
                <c:pt idx="16">
                  <c:v>0.33868308463365293</c:v>
                </c:pt>
                <c:pt idx="17">
                  <c:v>0.44116864743261897</c:v>
                </c:pt>
                <c:pt idx="18">
                  <c:v>0.54852228269809822</c:v>
                </c:pt>
                <c:pt idx="19">
                  <c:v>0.66261719051200552</c:v>
                </c:pt>
                <c:pt idx="20">
                  <c:v>0.78608416291719951</c:v>
                </c:pt>
                <c:pt idx="21">
                  <c:v>0.92289753360667104</c:v>
                </c:pt>
                <c:pt idx="22">
                  <c:v>1.0796388586671013</c:v>
                </c:pt>
                <c:pt idx="23">
                  <c:v>1.2687073653921925</c:v>
                </c:pt>
                <c:pt idx="24">
                  <c:v>1.5188991668172824</c:v>
                </c:pt>
                <c:pt idx="25">
                  <c:v>1.9346740800992503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Berechnung!$U$87</c:f>
              <c:strCache>
                <c:ptCount val="1"/>
                <c:pt idx="0">
                  <c:v>USL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1"/>
                <c:pt idx="0">
                  <c:v>12</c:v>
                </c:pt>
              </c:numLit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Berechnung!$V$87</c:f>
              <c:numCache>
                <c:formatCode>#\ ##0.0000_ ;\-#\ ##0.0000\ </c:formatCode>
                <c:ptCount val="1"/>
                <c:pt idx="0">
                  <c:v>12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6</c:v>
              </c:pt>
            </c:numLit>
          </c:yVal>
          <c:smooth val="0"/>
        </c:ser>
        <c:ser>
          <c:idx val="4"/>
          <c:order val="4"/>
          <c:tx>
            <c:v>UGW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1"/>
                <c:pt idx="0">
                  <c:v>12</c:v>
                </c:pt>
              </c:numLit>
            </c:minus>
            <c:spPr>
              <a:ln w="15875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Berechnung!$V$88</c:f>
              <c:numCache>
                <c:formatCode>#\ ##0.0000_ ;\-#\ ##0.0000\ </c:formatCode>
                <c:ptCount val="1"/>
                <c:pt idx="0">
                  <c:v>10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618080"/>
        <c:axId val="299613768"/>
      </c:scatterChart>
      <c:valAx>
        <c:axId val="299618080"/>
        <c:scaling>
          <c:orientation val="minMax"/>
        </c:scaling>
        <c:delete val="0"/>
        <c:axPos val="b"/>
        <c:title>
          <c:tx>
            <c:strRef>
              <c:f>'Eingabe und Diagramm'!$O$14</c:f>
              <c:strCache>
                <c:ptCount val="1"/>
                <c:pt idx="0">
                  <c:v>mm</c:v>
                </c:pt>
              </c:strCache>
            </c:strRef>
          </c:tx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#,##0.0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9613768"/>
        <c:crossesAt val="-6"/>
        <c:crossBetween val="midCat"/>
      </c:valAx>
      <c:valAx>
        <c:axId val="299613768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AT"/>
                  <a:t>u - Wert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9618080"/>
        <c:crosses val="autoZero"/>
        <c:crossBetween val="midCat"/>
        <c:majorUnit val="1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AT" sz="1600">
                <a:latin typeface="Arial" panose="020B0604020202020204" pitchFamily="34" charset="0"/>
                <a:cs typeface="Arial" panose="020B0604020202020204" pitchFamily="34" charset="0"/>
              </a:rPr>
              <a:t>Fähigkeitskennwerte / Capability indices</a:t>
            </a:r>
          </a:p>
        </c:rich>
      </c:tx>
      <c:layout>
        <c:manualLayout>
          <c:xMode val="edge"/>
          <c:yMode val="edge"/>
          <c:x val="0.27029792613810932"/>
          <c:y val="3.7889535536829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11701444255852E-2"/>
          <c:y val="0.43525924392732002"/>
          <c:w val="0.87364696047303081"/>
          <c:h val="0.4316888099440232"/>
        </c:manualLayout>
      </c:layout>
      <c:barChart>
        <c:barDir val="bar"/>
        <c:grouping val="clustered"/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'Eingabe und Diagramm'!$O$35:$O$36</c:f>
              <c:strCache>
                <c:ptCount val="2"/>
                <c:pt idx="0">
                  <c:v>Cp/Cm</c:v>
                </c:pt>
                <c:pt idx="1">
                  <c:v>Cpk/Cmk</c:v>
                </c:pt>
              </c:strCache>
            </c:strRef>
          </c:cat>
          <c:val>
            <c:numRef>
              <c:f>'Eingabe und Diagramm'!$P$35:$P$36</c:f>
              <c:numCache>
                <c:formatCode>0.00</c:formatCode>
                <c:ptCount val="2"/>
                <c:pt idx="0">
                  <c:v>2.64101493634183</c:v>
                </c:pt>
                <c:pt idx="1">
                  <c:v>1.3337125428526169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9620824"/>
        <c:axId val="299620040"/>
      </c:barChart>
      <c:catAx>
        <c:axId val="299620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299620040"/>
        <c:crosses val="autoZero"/>
        <c:auto val="1"/>
        <c:lblAlgn val="ctr"/>
        <c:lblOffset val="100"/>
        <c:noMultiLvlLbl val="0"/>
      </c:catAx>
      <c:valAx>
        <c:axId val="299620040"/>
        <c:scaling>
          <c:orientation val="minMax"/>
        </c:scaling>
        <c:delete val="0"/>
        <c:axPos val="t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2996208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$AB$2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254454</xdr:colOff>
      <xdr:row>3</xdr:row>
      <xdr:rowOff>38100</xdr:rowOff>
    </xdr:from>
    <xdr:to>
      <xdr:col>25</xdr:col>
      <xdr:colOff>14968</xdr:colOff>
      <xdr:row>26</xdr:row>
      <xdr:rowOff>171450</xdr:rowOff>
    </xdr:to>
    <xdr:graphicFrame macro="">
      <xdr:nvGraphicFramePr>
        <xdr:cNvPr id="126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225239</xdr:colOff>
      <xdr:row>33</xdr:row>
      <xdr:rowOff>112058</xdr:rowOff>
    </xdr:from>
    <xdr:to>
      <xdr:col>20</xdr:col>
      <xdr:colOff>720539</xdr:colOff>
      <xdr:row>52</xdr:row>
      <xdr:rowOff>8283</xdr:rowOff>
    </xdr:to>
    <xdr:graphicFrame macro="">
      <xdr:nvGraphicFramePr>
        <xdr:cNvPr id="1268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798419</xdr:colOff>
      <xdr:row>33</xdr:row>
      <xdr:rowOff>112058</xdr:rowOff>
    </xdr:from>
    <xdr:to>
      <xdr:col>24</xdr:col>
      <xdr:colOff>188819</xdr:colOff>
      <xdr:row>52</xdr:row>
      <xdr:rowOff>6161</xdr:rowOff>
    </xdr:to>
    <xdr:graphicFrame macro="">
      <xdr:nvGraphicFramePr>
        <xdr:cNvPr id="126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224202</xdr:colOff>
      <xdr:row>26</xdr:row>
      <xdr:rowOff>235324</xdr:rowOff>
    </xdr:from>
    <xdr:to>
      <xdr:col>25</xdr:col>
      <xdr:colOff>22412</xdr:colOff>
      <xdr:row>32</xdr:row>
      <xdr:rowOff>190500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78440</xdr:colOff>
      <xdr:row>1</xdr:row>
      <xdr:rowOff>47218</xdr:rowOff>
    </xdr:from>
    <xdr:to>
      <xdr:col>10</xdr:col>
      <xdr:colOff>227901</xdr:colOff>
      <xdr:row>1</xdr:row>
      <xdr:rowOff>739588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215306"/>
          <a:ext cx="3791373" cy="692370"/>
        </a:xfrm>
        <a:prstGeom prst="rect">
          <a:avLst/>
        </a:prstGeom>
      </xdr:spPr>
    </xdr:pic>
    <xdr:clientData/>
  </xdr:twoCellAnchor>
  <xdr:twoCellAnchor editAs="oneCell">
    <xdr:from>
      <xdr:col>21</xdr:col>
      <xdr:colOff>201705</xdr:colOff>
      <xdr:row>1</xdr:row>
      <xdr:rowOff>235324</xdr:rowOff>
    </xdr:from>
    <xdr:to>
      <xdr:col>21</xdr:col>
      <xdr:colOff>777557</xdr:colOff>
      <xdr:row>1</xdr:row>
      <xdr:rowOff>619129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5505" y="406774"/>
          <a:ext cx="575852" cy="3838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857250</xdr:colOff>
          <xdr:row>1</xdr:row>
          <xdr:rowOff>247650</xdr:rowOff>
        </xdr:from>
        <xdr:to>
          <xdr:col>21</xdr:col>
          <xdr:colOff>1104900</xdr:colOff>
          <xdr:row>1</xdr:row>
          <xdr:rowOff>590550</xdr:rowOff>
        </xdr:to>
        <xdr:sp macro="" textlink="">
          <xdr:nvSpPr>
            <xdr:cNvPr id="2" name="Option Button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857250</xdr:colOff>
          <xdr:row>1</xdr:row>
          <xdr:rowOff>247650</xdr:rowOff>
        </xdr:from>
        <xdr:to>
          <xdr:col>22</xdr:col>
          <xdr:colOff>1104900</xdr:colOff>
          <xdr:row>1</xdr:row>
          <xdr:rowOff>590550</xdr:rowOff>
        </xdr:to>
        <xdr:sp macro="" textlink="">
          <xdr:nvSpPr>
            <xdr:cNvPr id="5" name="Option Button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218713</xdr:colOff>
      <xdr:row>1</xdr:row>
      <xdr:rowOff>235129</xdr:rowOff>
    </xdr:from>
    <xdr:to>
      <xdr:col>22</xdr:col>
      <xdr:colOff>799648</xdr:colOff>
      <xdr:row>1</xdr:row>
      <xdr:rowOff>601774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8056" y="409300"/>
          <a:ext cx="580935" cy="366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DH299"/>
  <sheetViews>
    <sheetView tabSelected="1" zoomScaleNormal="100" workbookViewId="0">
      <selection activeCell="B20" sqref="B20"/>
    </sheetView>
  </sheetViews>
  <sheetFormatPr baseColWidth="10" defaultColWidth="11.3984375" defaultRowHeight="18" x14ac:dyDescent="0.55000000000000004"/>
  <cols>
    <col min="1" max="1" width="2.1328125" style="33" customWidth="1"/>
    <col min="2" max="2" width="5.73046875" style="33" customWidth="1"/>
    <col min="3" max="3" width="10.59765625" style="76" customWidth="1"/>
    <col min="4" max="4" width="2" style="33" customWidth="1"/>
    <col min="5" max="5" width="5.73046875" style="33" customWidth="1"/>
    <col min="6" max="6" width="10.59765625" style="76" customWidth="1"/>
    <col min="7" max="7" width="2" style="33" customWidth="1"/>
    <col min="8" max="8" width="5.73046875" style="33" customWidth="1"/>
    <col min="9" max="9" width="10.59765625" style="76" customWidth="1"/>
    <col min="10" max="10" width="1.73046875" style="33" customWidth="1"/>
    <col min="11" max="11" width="7" style="33" customWidth="1"/>
    <col min="12" max="12" width="11" style="76" customWidth="1"/>
    <col min="13" max="13" width="2.86328125" style="33" customWidth="1"/>
    <col min="14" max="14" width="24" style="33" customWidth="1"/>
    <col min="15" max="15" width="16.1328125" style="33" customWidth="1"/>
    <col min="16" max="16" width="28.265625" style="33" customWidth="1"/>
    <col min="17" max="17" width="13" style="33" customWidth="1"/>
    <col min="18" max="19" width="20.3984375" style="33" customWidth="1"/>
    <col min="20" max="20" width="15.3984375" style="33" customWidth="1"/>
    <col min="21" max="21" width="12.1328125" style="33" customWidth="1"/>
    <col min="22" max="22" width="20.3984375" style="33" customWidth="1"/>
    <col min="23" max="24" width="20.3984375" style="77" customWidth="1"/>
    <col min="25" max="25" width="3" style="77" customWidth="1"/>
    <col min="26" max="26" width="3.73046875" style="77" customWidth="1"/>
    <col min="27" max="27" width="8.3984375" style="31" customWidth="1"/>
    <col min="28" max="28" width="11.3984375" style="31" hidden="1" customWidth="1"/>
    <col min="29" max="29" width="11.3984375" style="31"/>
    <col min="30" max="41" width="11.3984375" style="8"/>
    <col min="42" max="65" width="11.3984375" style="31"/>
    <col min="66" max="112" width="11.3984375" style="32"/>
    <col min="113" max="16384" width="11.3984375" style="33"/>
  </cols>
  <sheetData>
    <row r="1" spans="1:112" ht="13.5" customHeight="1" thickBot="1" x14ac:dyDescent="0.6">
      <c r="A1" s="26"/>
      <c r="B1" s="27"/>
      <c r="C1" s="28"/>
      <c r="D1" s="27"/>
      <c r="E1" s="27"/>
      <c r="F1" s="28"/>
      <c r="G1" s="27"/>
      <c r="H1" s="27"/>
      <c r="I1" s="28"/>
      <c r="J1" s="27"/>
      <c r="K1" s="27"/>
      <c r="L1" s="28"/>
      <c r="M1" s="27"/>
      <c r="N1" s="27"/>
      <c r="O1" s="27"/>
      <c r="P1" s="27"/>
      <c r="Q1" s="27"/>
      <c r="R1" s="27"/>
      <c r="S1" s="27"/>
      <c r="T1" s="27"/>
      <c r="U1" s="27"/>
      <c r="V1" s="27"/>
      <c r="W1" s="29"/>
      <c r="X1" s="29"/>
      <c r="Y1" s="29"/>
      <c r="Z1" s="30"/>
    </row>
    <row r="2" spans="1:112" ht="65.25" customHeight="1" thickBot="1" x14ac:dyDescent="0.95">
      <c r="A2" s="34"/>
      <c r="B2" s="188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90"/>
      <c r="N2" s="188" t="str">
        <f xml:space="preserve"> IF(AB2=1, "Prozess- oder Maschinenfähigkeit", "Short-term process or maschine capability")</f>
        <v>Short-term process or maschine capability</v>
      </c>
      <c r="O2" s="189"/>
      <c r="P2" s="189"/>
      <c r="Q2" s="189"/>
      <c r="R2" s="189"/>
      <c r="S2" s="189"/>
      <c r="T2" s="189"/>
      <c r="U2" s="164" t="s">
        <v>78</v>
      </c>
      <c r="V2" s="172"/>
      <c r="W2" s="172"/>
      <c r="X2" s="165"/>
      <c r="Y2" s="166"/>
      <c r="Z2" s="35"/>
      <c r="AB2" s="171">
        <v>2</v>
      </c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8"/>
      <c r="AT2" s="8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</row>
    <row r="3" spans="1:112" ht="11.25" customHeight="1" x14ac:dyDescent="0.55000000000000004">
      <c r="A3" s="34"/>
      <c r="B3" s="1"/>
      <c r="C3" s="38"/>
      <c r="D3" s="1"/>
      <c r="E3" s="1"/>
      <c r="F3" s="38"/>
      <c r="G3" s="1"/>
      <c r="H3" s="1"/>
      <c r="I3" s="38"/>
      <c r="J3" s="1"/>
      <c r="K3" s="1"/>
      <c r="L3" s="38"/>
      <c r="M3" s="1"/>
      <c r="N3" s="1"/>
      <c r="O3" s="1"/>
      <c r="P3" s="1"/>
      <c r="Q3" s="1"/>
      <c r="R3" s="1"/>
      <c r="S3" s="1"/>
      <c r="T3" s="1"/>
      <c r="U3" s="1"/>
      <c r="V3" s="1"/>
      <c r="W3" s="39"/>
      <c r="X3" s="39"/>
      <c r="Y3" s="39"/>
      <c r="Z3" s="3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112" s="43" customFormat="1" x14ac:dyDescent="0.45">
      <c r="A4" s="40"/>
      <c r="B4" s="4" t="s">
        <v>79</v>
      </c>
      <c r="C4" s="5" t="s">
        <v>80</v>
      </c>
      <c r="D4" s="6"/>
      <c r="E4" s="4" t="s">
        <v>79</v>
      </c>
      <c r="F4" s="5" t="s">
        <v>80</v>
      </c>
      <c r="G4" s="7"/>
      <c r="H4" s="4" t="s">
        <v>79</v>
      </c>
      <c r="I4" s="5" t="s">
        <v>80</v>
      </c>
      <c r="J4" s="7"/>
      <c r="K4" s="4" t="s">
        <v>79</v>
      </c>
      <c r="L4" s="5" t="s">
        <v>80</v>
      </c>
      <c r="M4" s="42"/>
      <c r="N4" s="191" t="str">
        <f>IF(AB2=1, "Werte können geändert werden", "Value can be changed")</f>
        <v>Value can be changed</v>
      </c>
      <c r="O4" s="192"/>
      <c r="P4" s="193"/>
      <c r="Q4" s="42"/>
      <c r="T4" s="42"/>
      <c r="W4" s="44"/>
      <c r="X4" s="44"/>
      <c r="Y4" s="44"/>
      <c r="Z4" s="45"/>
      <c r="AA4" s="46"/>
      <c r="AB4" s="46"/>
      <c r="AC4" s="46"/>
      <c r="AD4" s="47"/>
      <c r="AE4" s="47"/>
      <c r="AF4" s="47"/>
      <c r="AG4" s="47"/>
      <c r="AH4" s="47"/>
      <c r="AI4" s="47"/>
      <c r="AJ4" s="47"/>
      <c r="AK4" s="23"/>
      <c r="AL4" s="23"/>
      <c r="AM4" s="23"/>
      <c r="AN4" s="23"/>
      <c r="AO4" s="23"/>
      <c r="AP4" s="10"/>
      <c r="AQ4" s="10"/>
      <c r="AR4" s="10"/>
      <c r="AS4" s="10"/>
      <c r="AT4" s="10"/>
      <c r="AU4" s="10"/>
      <c r="AV4" s="48"/>
      <c r="AW4" s="49"/>
      <c r="AX4" s="23"/>
      <c r="AY4" s="23"/>
      <c r="AZ4" s="23"/>
      <c r="BA4" s="1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11"/>
      <c r="BM4" s="1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</row>
    <row r="5" spans="1:112" s="43" customFormat="1" x14ac:dyDescent="0.45">
      <c r="A5" s="40"/>
      <c r="B5" s="4">
        <v>1</v>
      </c>
      <c r="C5" s="153">
        <v>10.5</v>
      </c>
      <c r="D5" s="6"/>
      <c r="E5" s="4">
        <v>51</v>
      </c>
      <c r="F5" s="153"/>
      <c r="G5" s="3"/>
      <c r="H5" s="2">
        <v>101</v>
      </c>
      <c r="I5" s="153"/>
      <c r="J5" s="3"/>
      <c r="K5" s="2">
        <v>151</v>
      </c>
      <c r="L5" s="153"/>
      <c r="M5" s="42"/>
      <c r="N5" s="194" t="str">
        <f>IF(AB2=1,"Werte werden berechnet (Blatt Berechnung)","Value will be calculated")</f>
        <v>Value will be calculated</v>
      </c>
      <c r="O5" s="195"/>
      <c r="P5" s="196"/>
      <c r="Q5" s="10"/>
      <c r="T5" s="42"/>
      <c r="W5" s="44"/>
      <c r="X5" s="44"/>
      <c r="Y5" s="44"/>
      <c r="Z5" s="45"/>
      <c r="AA5" s="46"/>
      <c r="AB5" s="46"/>
      <c r="AC5" s="46"/>
      <c r="AD5" s="10"/>
      <c r="AE5" s="10"/>
      <c r="AF5" s="10"/>
      <c r="AG5" s="10"/>
      <c r="AH5" s="10"/>
      <c r="AI5" s="52"/>
      <c r="AJ5" s="52"/>
      <c r="AK5" s="52"/>
      <c r="AL5" s="52"/>
      <c r="AM5" s="52"/>
      <c r="AN5" s="52"/>
      <c r="AO5" s="52"/>
      <c r="AP5" s="52"/>
      <c r="AQ5" s="10"/>
      <c r="AR5" s="10"/>
      <c r="AS5" s="10"/>
      <c r="AT5" s="10"/>
      <c r="AU5" s="10"/>
      <c r="AV5" s="53"/>
      <c r="AW5" s="54"/>
      <c r="AX5" s="23"/>
      <c r="AY5" s="23"/>
      <c r="AZ5" s="54"/>
      <c r="BA5" s="1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11"/>
      <c r="BM5" s="1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</row>
    <row r="6" spans="1:112" s="43" customFormat="1" x14ac:dyDescent="0.45">
      <c r="A6" s="40"/>
      <c r="B6" s="4">
        <v>2</v>
      </c>
      <c r="C6" s="153">
        <v>10.4</v>
      </c>
      <c r="D6" s="6"/>
      <c r="E6" s="4">
        <v>52</v>
      </c>
      <c r="F6" s="153"/>
      <c r="G6" s="3"/>
      <c r="H6" s="2">
        <v>102</v>
      </c>
      <c r="I6" s="153"/>
      <c r="J6" s="3"/>
      <c r="K6" s="2">
        <v>152</v>
      </c>
      <c r="L6" s="153"/>
      <c r="M6" s="42"/>
      <c r="N6" s="55"/>
      <c r="O6" s="55"/>
      <c r="P6" s="55"/>
      <c r="Q6" s="10"/>
      <c r="T6" s="42"/>
      <c r="W6" s="44"/>
      <c r="X6" s="44"/>
      <c r="Y6" s="44"/>
      <c r="Z6" s="45"/>
      <c r="AA6" s="46"/>
      <c r="AB6" s="46"/>
      <c r="AC6" s="46"/>
      <c r="AD6" s="10"/>
      <c r="AE6" s="10"/>
      <c r="AF6" s="10"/>
      <c r="AG6" s="10"/>
      <c r="AH6" s="10"/>
      <c r="AI6" s="52"/>
      <c r="AJ6" s="52"/>
      <c r="AK6" s="52"/>
      <c r="AL6" s="52"/>
      <c r="AM6" s="52"/>
      <c r="AN6" s="52"/>
      <c r="AO6" s="52"/>
      <c r="AP6" s="10"/>
      <c r="AQ6" s="10"/>
      <c r="AR6" s="10"/>
      <c r="AS6" s="10"/>
      <c r="AT6" s="10"/>
      <c r="AU6" s="10"/>
      <c r="AV6" s="53"/>
      <c r="AW6" s="54"/>
      <c r="AX6" s="23"/>
      <c r="AY6" s="23"/>
      <c r="AZ6" s="54"/>
      <c r="BA6" s="1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11"/>
      <c r="BM6" s="1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</row>
    <row r="7" spans="1:112" s="43" customFormat="1" x14ac:dyDescent="0.45">
      <c r="A7" s="40"/>
      <c r="B7" s="4">
        <v>3</v>
      </c>
      <c r="C7" s="153">
        <v>10.6</v>
      </c>
      <c r="D7" s="6"/>
      <c r="E7" s="4">
        <v>53</v>
      </c>
      <c r="F7" s="153"/>
      <c r="G7" s="3"/>
      <c r="H7" s="2">
        <v>103</v>
      </c>
      <c r="I7" s="153"/>
      <c r="J7" s="3"/>
      <c r="K7" s="2">
        <v>153</v>
      </c>
      <c r="L7" s="153"/>
      <c r="M7" s="42"/>
      <c r="N7" s="167" t="str">
        <f>IF(AB2=1,"Artikelname:","Part name:")</f>
        <v>Part name:</v>
      </c>
      <c r="O7" s="174" t="s">
        <v>86</v>
      </c>
      <c r="P7" s="175"/>
      <c r="Q7" s="10"/>
      <c r="T7" s="42"/>
      <c r="W7" s="44"/>
      <c r="X7" s="44"/>
      <c r="Y7" s="44"/>
      <c r="Z7" s="45"/>
      <c r="AA7" s="46"/>
      <c r="AB7" s="46"/>
      <c r="AC7" s="46"/>
      <c r="AD7" s="10"/>
      <c r="AE7" s="10"/>
      <c r="AF7" s="10"/>
      <c r="AG7" s="10"/>
      <c r="AH7" s="10"/>
      <c r="AI7" s="52"/>
      <c r="AJ7" s="52"/>
      <c r="AK7" s="52"/>
      <c r="AL7" s="52"/>
      <c r="AM7" s="52"/>
      <c r="AN7" s="52"/>
      <c r="AO7" s="52"/>
      <c r="AP7" s="10"/>
      <c r="AQ7" s="10"/>
      <c r="AR7" s="10"/>
      <c r="AS7" s="10"/>
      <c r="AT7" s="10"/>
      <c r="AU7" s="10"/>
      <c r="AV7" s="53"/>
      <c r="AW7" s="54"/>
      <c r="AX7" s="23"/>
      <c r="AY7" s="23"/>
      <c r="AZ7" s="54"/>
      <c r="BA7" s="10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11"/>
      <c r="BM7" s="1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</row>
    <row r="8" spans="1:112" s="43" customFormat="1" x14ac:dyDescent="0.45">
      <c r="A8" s="40"/>
      <c r="B8" s="4">
        <v>4</v>
      </c>
      <c r="C8" s="153">
        <v>10.4</v>
      </c>
      <c r="D8" s="6"/>
      <c r="E8" s="4">
        <v>54</v>
      </c>
      <c r="F8" s="153"/>
      <c r="G8" s="3"/>
      <c r="H8" s="2">
        <v>104</v>
      </c>
      <c r="I8" s="153"/>
      <c r="J8" s="3"/>
      <c r="K8" s="2">
        <v>154</v>
      </c>
      <c r="L8" s="153"/>
      <c r="M8" s="42"/>
      <c r="N8" s="167" t="str">
        <f>IF(AB2=1,"Artikel Nr.:","Part no.:")</f>
        <v>Part no.:</v>
      </c>
      <c r="O8" s="174" t="s">
        <v>91</v>
      </c>
      <c r="P8" s="175"/>
      <c r="Q8" s="10"/>
      <c r="T8" s="42"/>
      <c r="W8" s="44"/>
      <c r="X8" s="44"/>
      <c r="Y8" s="44"/>
      <c r="Z8" s="45"/>
      <c r="AA8" s="46"/>
      <c r="AB8" s="46"/>
      <c r="AC8" s="46"/>
      <c r="AD8" s="10"/>
      <c r="AE8" s="10"/>
      <c r="AF8" s="10"/>
      <c r="AG8" s="10"/>
      <c r="AH8" s="10"/>
      <c r="AI8" s="52"/>
      <c r="AJ8" s="52"/>
      <c r="AK8" s="52"/>
      <c r="AL8" s="52"/>
      <c r="AM8" s="52"/>
      <c r="AN8" s="52"/>
      <c r="AO8" s="52"/>
      <c r="AP8" s="10"/>
      <c r="AQ8" s="10"/>
      <c r="AR8" s="10"/>
      <c r="AS8" s="10"/>
      <c r="AT8" s="10"/>
      <c r="AU8" s="10"/>
      <c r="AV8" s="53"/>
      <c r="AW8" s="54"/>
      <c r="AX8" s="23"/>
      <c r="AY8" s="23"/>
      <c r="AZ8" s="54"/>
      <c r="BA8" s="10"/>
      <c r="BB8" s="12"/>
      <c r="BC8" s="13"/>
      <c r="BD8" s="13"/>
      <c r="BE8" s="14"/>
      <c r="BF8" s="15"/>
      <c r="BG8" s="16"/>
      <c r="BH8" s="17"/>
      <c r="BI8" s="18"/>
      <c r="BJ8" s="17"/>
      <c r="BK8" s="19"/>
      <c r="BL8" s="11"/>
      <c r="BM8" s="1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</row>
    <row r="9" spans="1:112" s="43" customFormat="1" x14ac:dyDescent="0.45">
      <c r="A9" s="40"/>
      <c r="B9" s="4">
        <v>5</v>
      </c>
      <c r="C9" s="153">
        <v>10.5</v>
      </c>
      <c r="D9" s="6"/>
      <c r="E9" s="4">
        <v>55</v>
      </c>
      <c r="F9" s="153"/>
      <c r="G9" s="3"/>
      <c r="H9" s="2">
        <v>105</v>
      </c>
      <c r="I9" s="153"/>
      <c r="J9" s="3"/>
      <c r="K9" s="2">
        <v>155</v>
      </c>
      <c r="L9" s="153"/>
      <c r="M9" s="42"/>
      <c r="N9" s="167" t="str">
        <f>IF(AB2=1,"Zeichnungsnr.:","Drawing no.:")</f>
        <v>Drawing no.:</v>
      </c>
      <c r="O9" s="174" t="s">
        <v>92</v>
      </c>
      <c r="P9" s="175"/>
      <c r="Q9" s="10"/>
      <c r="T9" s="42"/>
      <c r="W9" s="44"/>
      <c r="X9" s="44"/>
      <c r="Y9" s="44"/>
      <c r="Z9" s="45"/>
      <c r="AA9" s="46"/>
      <c r="AB9" s="46"/>
      <c r="AC9" s="46"/>
      <c r="AD9" s="10"/>
      <c r="AE9" s="10"/>
      <c r="AF9" s="10"/>
      <c r="AG9" s="10"/>
      <c r="AH9" s="10"/>
      <c r="AI9" s="52"/>
      <c r="AJ9" s="52"/>
      <c r="AK9" s="52"/>
      <c r="AL9" s="52"/>
      <c r="AM9" s="52"/>
      <c r="AN9" s="52"/>
      <c r="AO9" s="52"/>
      <c r="AP9" s="10"/>
      <c r="AQ9" s="10"/>
      <c r="AR9" s="10"/>
      <c r="AS9" s="10"/>
      <c r="AT9" s="10"/>
      <c r="AU9" s="10"/>
      <c r="AV9" s="53"/>
      <c r="AW9" s="54"/>
      <c r="AX9" s="23"/>
      <c r="AY9" s="23"/>
      <c r="AZ9" s="54"/>
      <c r="BA9" s="10"/>
      <c r="BB9" s="12"/>
      <c r="BC9" s="57"/>
      <c r="BD9" s="13"/>
      <c r="BE9" s="14"/>
      <c r="BF9" s="15"/>
      <c r="BG9" s="16"/>
      <c r="BH9" s="17"/>
      <c r="BI9" s="18"/>
      <c r="BJ9" s="17"/>
      <c r="BK9" s="19"/>
      <c r="BL9" s="11"/>
      <c r="BM9" s="1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</row>
    <row r="10" spans="1:112" s="43" customFormat="1" x14ac:dyDescent="0.45">
      <c r="A10" s="40"/>
      <c r="B10" s="4">
        <v>6</v>
      </c>
      <c r="C10" s="153">
        <v>10.5</v>
      </c>
      <c r="D10" s="6"/>
      <c r="E10" s="4">
        <v>56</v>
      </c>
      <c r="F10" s="153"/>
      <c r="G10" s="3"/>
      <c r="H10" s="2">
        <v>106</v>
      </c>
      <c r="I10" s="153"/>
      <c r="J10" s="3"/>
      <c r="K10" s="2">
        <v>156</v>
      </c>
      <c r="L10" s="153"/>
      <c r="M10" s="42"/>
      <c r="N10" s="167" t="str">
        <f>IF(AB2=1,"Prüfer:","Inspector:")</f>
        <v>Inspector:</v>
      </c>
      <c r="O10" s="174" t="s">
        <v>90</v>
      </c>
      <c r="P10" s="175"/>
      <c r="Q10" s="42"/>
      <c r="T10" s="42"/>
      <c r="W10" s="44"/>
      <c r="X10" s="44"/>
      <c r="Y10" s="44"/>
      <c r="Z10" s="45"/>
      <c r="AA10" s="46"/>
      <c r="AB10" s="46"/>
      <c r="AC10" s="46"/>
      <c r="AD10" s="10"/>
      <c r="AE10" s="10"/>
      <c r="AF10" s="10"/>
      <c r="AG10" s="10"/>
      <c r="AH10" s="10"/>
      <c r="AI10" s="52"/>
      <c r="AJ10" s="52"/>
      <c r="AK10" s="52"/>
      <c r="AL10" s="52"/>
      <c r="AM10" s="52"/>
      <c r="AN10" s="52"/>
      <c r="AO10" s="52"/>
      <c r="AP10" s="10"/>
      <c r="AQ10" s="10"/>
      <c r="AR10" s="10"/>
      <c r="AS10" s="10"/>
      <c r="AT10" s="10"/>
      <c r="AU10" s="10"/>
      <c r="AV10" s="53"/>
      <c r="AW10" s="54"/>
      <c r="AX10" s="23"/>
      <c r="AY10" s="23"/>
      <c r="AZ10" s="54"/>
      <c r="BA10" s="10"/>
      <c r="BB10" s="12"/>
      <c r="BC10" s="57"/>
      <c r="BD10" s="13"/>
      <c r="BE10" s="14"/>
      <c r="BF10" s="15"/>
      <c r="BG10" s="16"/>
      <c r="BH10" s="17"/>
      <c r="BI10" s="18"/>
      <c r="BJ10" s="17"/>
      <c r="BK10" s="19"/>
      <c r="BL10" s="11"/>
      <c r="BM10" s="1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</row>
    <row r="11" spans="1:112" s="43" customFormat="1" x14ac:dyDescent="0.45">
      <c r="A11" s="40"/>
      <c r="B11" s="4">
        <v>7</v>
      </c>
      <c r="C11" s="153">
        <v>10.4</v>
      </c>
      <c r="D11" s="6"/>
      <c r="E11" s="4">
        <v>57</v>
      </c>
      <c r="F11" s="153"/>
      <c r="G11" s="3"/>
      <c r="H11" s="2">
        <v>107</v>
      </c>
      <c r="I11" s="153"/>
      <c r="J11" s="3"/>
      <c r="K11" s="2">
        <v>157</v>
      </c>
      <c r="L11" s="153"/>
      <c r="M11" s="42"/>
      <c r="N11" s="167" t="str">
        <f>IF(AB2=1,"Messmittel:","Measuring device:")</f>
        <v>Measuring device:</v>
      </c>
      <c r="O11" s="174" t="s">
        <v>93</v>
      </c>
      <c r="P11" s="175"/>
      <c r="Q11" s="42"/>
      <c r="R11" s="42"/>
      <c r="S11" s="42"/>
      <c r="T11" s="42"/>
      <c r="U11" s="42"/>
      <c r="V11" s="42"/>
      <c r="W11" s="44"/>
      <c r="X11" s="44"/>
      <c r="Y11" s="44"/>
      <c r="Z11" s="45"/>
      <c r="AA11" s="46"/>
      <c r="AB11" s="46"/>
      <c r="AC11" s="46"/>
      <c r="AD11" s="10"/>
      <c r="AE11" s="10"/>
      <c r="AF11" s="10"/>
      <c r="AG11" s="10"/>
      <c r="AH11" s="10"/>
      <c r="AI11" s="52"/>
      <c r="AJ11" s="52"/>
      <c r="AK11" s="52"/>
      <c r="AL11" s="52"/>
      <c r="AM11" s="52"/>
      <c r="AN11" s="52"/>
      <c r="AO11" s="52"/>
      <c r="AP11" s="10"/>
      <c r="AQ11" s="10"/>
      <c r="AR11" s="10"/>
      <c r="AS11" s="10"/>
      <c r="AT11" s="10"/>
      <c r="AU11" s="10"/>
      <c r="AV11" s="53"/>
      <c r="AW11" s="54"/>
      <c r="AX11" s="23"/>
      <c r="AY11" s="23"/>
      <c r="AZ11" s="54"/>
      <c r="BA11" s="10"/>
      <c r="BB11" s="12"/>
      <c r="BC11" s="57"/>
      <c r="BD11" s="13"/>
      <c r="BE11" s="14"/>
      <c r="BF11" s="15"/>
      <c r="BG11" s="16"/>
      <c r="BH11" s="17"/>
      <c r="BI11" s="18"/>
      <c r="BJ11" s="17"/>
      <c r="BK11" s="19"/>
      <c r="BL11" s="11"/>
      <c r="BM11" s="1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</row>
    <row r="12" spans="1:112" s="43" customFormat="1" x14ac:dyDescent="0.45">
      <c r="A12" s="40"/>
      <c r="B12" s="4">
        <v>8</v>
      </c>
      <c r="C12" s="153">
        <v>10.3</v>
      </c>
      <c r="D12" s="6"/>
      <c r="E12" s="4">
        <v>58</v>
      </c>
      <c r="F12" s="153"/>
      <c r="G12" s="3"/>
      <c r="H12" s="2">
        <v>108</v>
      </c>
      <c r="I12" s="153"/>
      <c r="J12" s="3"/>
      <c r="K12" s="2">
        <v>158</v>
      </c>
      <c r="L12" s="153"/>
      <c r="M12" s="42"/>
      <c r="N12" s="167" t="str">
        <f>IF(AB2=1,"Datum:","Date:")</f>
        <v>Date:</v>
      </c>
      <c r="O12" s="197">
        <v>32874</v>
      </c>
      <c r="P12" s="175"/>
      <c r="Q12" s="42"/>
      <c r="R12" s="42"/>
      <c r="S12" s="42"/>
      <c r="T12" s="42"/>
      <c r="U12" s="42"/>
      <c r="V12" s="42"/>
      <c r="W12" s="44"/>
      <c r="X12" s="44"/>
      <c r="Y12" s="44"/>
      <c r="Z12" s="45"/>
      <c r="AA12" s="46"/>
      <c r="AB12" s="46"/>
      <c r="AC12" s="46"/>
      <c r="AD12" s="10"/>
      <c r="AE12" s="10"/>
      <c r="AF12" s="10"/>
      <c r="AG12" s="10"/>
      <c r="AH12" s="10"/>
      <c r="AI12" s="52"/>
      <c r="AJ12" s="52"/>
      <c r="AK12" s="52"/>
      <c r="AL12" s="52"/>
      <c r="AM12" s="52"/>
      <c r="AN12" s="52"/>
      <c r="AO12" s="52"/>
      <c r="AP12" s="10"/>
      <c r="AQ12" s="10"/>
      <c r="AR12" s="10"/>
      <c r="AS12" s="10"/>
      <c r="AT12" s="10"/>
      <c r="AU12" s="10"/>
      <c r="AV12" s="53"/>
      <c r="AW12" s="54"/>
      <c r="AX12" s="23"/>
      <c r="AY12" s="23"/>
      <c r="AZ12" s="54"/>
      <c r="BA12" s="10"/>
      <c r="BB12" s="12"/>
      <c r="BC12" s="57"/>
      <c r="BD12" s="13"/>
      <c r="BE12" s="14"/>
      <c r="BF12" s="15"/>
      <c r="BG12" s="16"/>
      <c r="BH12" s="17"/>
      <c r="BI12" s="18"/>
      <c r="BJ12" s="17"/>
      <c r="BK12" s="19"/>
      <c r="BL12" s="11"/>
      <c r="BM12" s="1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</row>
    <row r="13" spans="1:112" s="43" customFormat="1" x14ac:dyDescent="0.45">
      <c r="A13" s="40"/>
      <c r="B13" s="4">
        <v>9</v>
      </c>
      <c r="C13" s="153">
        <v>10.5</v>
      </c>
      <c r="D13" s="6"/>
      <c r="E13" s="4">
        <v>59</v>
      </c>
      <c r="F13" s="153"/>
      <c r="G13" s="3"/>
      <c r="H13" s="2">
        <v>109</v>
      </c>
      <c r="I13" s="153"/>
      <c r="J13" s="3"/>
      <c r="K13" s="2">
        <v>159</v>
      </c>
      <c r="L13" s="153"/>
      <c r="M13" s="42"/>
      <c r="N13" s="168" t="str">
        <f>IF(AB2=1,"Merkmal:","Attribute:")</f>
        <v>Attribute:</v>
      </c>
      <c r="O13" s="174" t="s">
        <v>87</v>
      </c>
      <c r="P13" s="175"/>
      <c r="Q13" s="42"/>
      <c r="R13" s="42"/>
      <c r="S13" s="42"/>
      <c r="T13" s="42"/>
      <c r="U13" s="42"/>
      <c r="V13" s="42"/>
      <c r="W13" s="44"/>
      <c r="X13" s="44"/>
      <c r="Y13" s="44"/>
      <c r="Z13" s="45"/>
      <c r="AA13" s="46"/>
      <c r="AB13" s="46"/>
      <c r="AC13" s="46"/>
      <c r="AD13" s="10"/>
      <c r="AE13" s="10"/>
      <c r="AF13" s="10"/>
      <c r="AG13" s="10"/>
      <c r="AH13" s="10"/>
      <c r="AI13" s="52"/>
      <c r="AJ13" s="52"/>
      <c r="AK13" s="52"/>
      <c r="AL13" s="52"/>
      <c r="AM13" s="52"/>
      <c r="AN13" s="52"/>
      <c r="AO13" s="52"/>
      <c r="AP13" s="10"/>
      <c r="AQ13" s="10"/>
      <c r="AR13" s="10"/>
      <c r="AS13" s="10"/>
      <c r="AT13" s="10"/>
      <c r="AU13" s="10"/>
      <c r="AV13" s="53"/>
      <c r="AW13" s="54"/>
      <c r="AX13" s="23"/>
      <c r="AY13" s="23"/>
      <c r="AZ13" s="54"/>
      <c r="BA13" s="10"/>
      <c r="BB13" s="12"/>
      <c r="BC13" s="57"/>
      <c r="BD13" s="13"/>
      <c r="BE13" s="14"/>
      <c r="BF13" s="15"/>
      <c r="BG13" s="16"/>
      <c r="BH13" s="17"/>
      <c r="BI13" s="18"/>
      <c r="BJ13" s="17"/>
      <c r="BK13" s="19"/>
      <c r="BL13" s="11"/>
      <c r="BM13" s="1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</row>
    <row r="14" spans="1:112" s="43" customFormat="1" x14ac:dyDescent="0.45">
      <c r="A14" s="40"/>
      <c r="B14" s="4">
        <v>10</v>
      </c>
      <c r="C14" s="153">
        <v>10.6</v>
      </c>
      <c r="D14" s="6"/>
      <c r="E14" s="4">
        <v>60</v>
      </c>
      <c r="F14" s="153"/>
      <c r="G14" s="3"/>
      <c r="H14" s="2">
        <v>110</v>
      </c>
      <c r="I14" s="153"/>
      <c r="J14" s="3"/>
      <c r="K14" s="2">
        <v>160</v>
      </c>
      <c r="L14" s="153"/>
      <c r="M14" s="42"/>
      <c r="N14" s="168" t="str">
        <f>IF(AB2=1,"Maßeinheit:","Measuring unit:")</f>
        <v>Measuring unit:</v>
      </c>
      <c r="O14" s="174" t="s">
        <v>88</v>
      </c>
      <c r="P14" s="175"/>
      <c r="Q14" s="42"/>
      <c r="R14" s="42"/>
      <c r="S14" s="42"/>
      <c r="T14" s="42"/>
      <c r="U14" s="42"/>
      <c r="V14" s="42"/>
      <c r="W14" s="44"/>
      <c r="X14" s="44"/>
      <c r="Y14" s="44"/>
      <c r="Z14" s="45"/>
      <c r="AA14" s="46"/>
      <c r="AB14" s="46"/>
      <c r="AC14" s="46"/>
      <c r="AD14" s="10"/>
      <c r="AE14" s="10"/>
      <c r="AF14" s="10"/>
      <c r="AG14" s="10"/>
      <c r="AH14" s="10"/>
      <c r="AI14" s="52"/>
      <c r="AJ14" s="52"/>
      <c r="AK14" s="52"/>
      <c r="AL14" s="52"/>
      <c r="AM14" s="52"/>
      <c r="AN14" s="52"/>
      <c r="AO14" s="52"/>
      <c r="AP14" s="10"/>
      <c r="AQ14" s="10"/>
      <c r="AR14" s="10"/>
      <c r="AS14" s="10"/>
      <c r="AT14" s="10"/>
      <c r="AU14" s="10"/>
      <c r="AV14" s="53"/>
      <c r="AW14" s="54"/>
      <c r="AX14" s="23"/>
      <c r="AY14" s="23"/>
      <c r="AZ14" s="54"/>
      <c r="BA14" s="10"/>
      <c r="BB14" s="12"/>
      <c r="BC14" s="57"/>
      <c r="BD14" s="13"/>
      <c r="BE14" s="14"/>
      <c r="BF14" s="15"/>
      <c r="BG14" s="16"/>
      <c r="BH14" s="17"/>
      <c r="BI14" s="18"/>
      <c r="BJ14" s="17"/>
      <c r="BK14" s="19"/>
      <c r="BL14" s="11"/>
      <c r="BM14" s="1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</row>
    <row r="15" spans="1:112" s="43" customFormat="1" x14ac:dyDescent="0.45">
      <c r="A15" s="40"/>
      <c r="B15" s="4">
        <v>11</v>
      </c>
      <c r="C15" s="153">
        <v>10.4</v>
      </c>
      <c r="D15" s="6"/>
      <c r="E15" s="4">
        <v>61</v>
      </c>
      <c r="F15" s="153"/>
      <c r="G15" s="3"/>
      <c r="H15" s="2">
        <v>111</v>
      </c>
      <c r="I15" s="153"/>
      <c r="J15" s="3"/>
      <c r="K15" s="2">
        <v>161</v>
      </c>
      <c r="L15" s="153"/>
      <c r="M15" s="42"/>
      <c r="N15" s="176" t="str">
        <f>IF(AB2=1,"Sollwert =","Nominal value =")</f>
        <v>Nominal value =</v>
      </c>
      <c r="O15" s="176"/>
      <c r="P15" s="150">
        <v>11</v>
      </c>
      <c r="Q15" s="42"/>
      <c r="R15" s="42"/>
      <c r="S15" s="42"/>
      <c r="T15" s="42"/>
      <c r="U15" s="42"/>
      <c r="V15" s="42"/>
      <c r="W15" s="44"/>
      <c r="X15" s="44"/>
      <c r="Y15" s="44"/>
      <c r="Z15" s="45"/>
      <c r="AA15" s="46"/>
      <c r="AB15" s="46"/>
      <c r="AC15" s="46"/>
      <c r="AD15" s="10"/>
      <c r="AE15" s="10"/>
      <c r="AF15" s="10"/>
      <c r="AG15" s="10"/>
      <c r="AH15" s="10"/>
      <c r="AI15" s="52"/>
      <c r="AJ15" s="52"/>
      <c r="AK15" s="52"/>
      <c r="AL15" s="52"/>
      <c r="AM15" s="52"/>
      <c r="AN15" s="52"/>
      <c r="AO15" s="52"/>
      <c r="AP15" s="10"/>
      <c r="AQ15" s="10"/>
      <c r="AR15" s="10"/>
      <c r="AS15" s="10"/>
      <c r="AT15" s="10"/>
      <c r="AU15" s="10"/>
      <c r="AV15" s="53"/>
      <c r="AW15" s="54"/>
      <c r="AX15" s="23"/>
      <c r="AY15" s="23"/>
      <c r="AZ15" s="54"/>
      <c r="BA15" s="10"/>
      <c r="BB15" s="12"/>
      <c r="BC15" s="57"/>
      <c r="BD15" s="13"/>
      <c r="BE15" s="14"/>
      <c r="BF15" s="15"/>
      <c r="BG15" s="16"/>
      <c r="BH15" s="17"/>
      <c r="BI15" s="18"/>
      <c r="BJ15" s="17"/>
      <c r="BK15" s="19"/>
      <c r="BL15" s="11"/>
      <c r="BM15" s="1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</row>
    <row r="16" spans="1:112" s="43" customFormat="1" x14ac:dyDescent="0.45">
      <c r="A16" s="40"/>
      <c r="B16" s="4">
        <v>12</v>
      </c>
      <c r="C16" s="153">
        <v>10.5</v>
      </c>
      <c r="D16" s="6"/>
      <c r="E16" s="4">
        <v>62</v>
      </c>
      <c r="F16" s="153"/>
      <c r="G16" s="3"/>
      <c r="H16" s="2">
        <v>112</v>
      </c>
      <c r="I16" s="153"/>
      <c r="J16" s="3"/>
      <c r="K16" s="2">
        <v>162</v>
      </c>
      <c r="L16" s="153"/>
      <c r="M16" s="42"/>
      <c r="N16" s="176" t="str">
        <f>IF(AB2=1,"Unterer Grenzwert UGW =","Lower spec. limit LSL =")</f>
        <v>Lower spec. limit LSL =</v>
      </c>
      <c r="O16" s="176"/>
      <c r="P16" s="150">
        <v>10</v>
      </c>
      <c r="Q16" s="42"/>
      <c r="R16" s="42"/>
      <c r="S16" s="42"/>
      <c r="T16" s="42"/>
      <c r="U16" s="42"/>
      <c r="V16" s="42"/>
      <c r="W16" s="44"/>
      <c r="X16" s="44"/>
      <c r="Y16" s="44"/>
      <c r="Z16" s="45"/>
      <c r="AA16" s="46"/>
      <c r="AB16" s="46"/>
      <c r="AC16" s="46"/>
      <c r="AD16" s="10"/>
      <c r="AE16" s="10"/>
      <c r="AF16" s="10"/>
      <c r="AG16" s="10"/>
      <c r="AH16" s="10"/>
      <c r="AI16" s="52"/>
      <c r="AJ16" s="52"/>
      <c r="AK16" s="52"/>
      <c r="AL16" s="52"/>
      <c r="AM16" s="52"/>
      <c r="AN16" s="52"/>
      <c r="AO16" s="52"/>
      <c r="AP16" s="10"/>
      <c r="AQ16" s="10"/>
      <c r="AR16" s="10"/>
      <c r="AS16" s="10"/>
      <c r="AT16" s="10"/>
      <c r="AU16" s="10"/>
      <c r="AV16" s="53"/>
      <c r="AW16" s="54"/>
      <c r="AX16" s="23"/>
      <c r="AY16" s="23"/>
      <c r="AZ16" s="54"/>
      <c r="BA16" s="10"/>
      <c r="BB16" s="12"/>
      <c r="BC16" s="57"/>
      <c r="BD16" s="13"/>
      <c r="BE16" s="14"/>
      <c r="BF16" s="15"/>
      <c r="BG16" s="16"/>
      <c r="BH16" s="17"/>
      <c r="BI16" s="18"/>
      <c r="BJ16" s="17"/>
      <c r="BK16" s="19"/>
      <c r="BL16" s="11"/>
      <c r="BM16" s="1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</row>
    <row r="17" spans="1:112" s="43" customFormat="1" x14ac:dyDescent="0.45">
      <c r="A17" s="40"/>
      <c r="B17" s="4">
        <v>13</v>
      </c>
      <c r="C17" s="153">
        <v>10.7</v>
      </c>
      <c r="D17" s="6"/>
      <c r="E17" s="4">
        <v>63</v>
      </c>
      <c r="F17" s="153"/>
      <c r="G17" s="3"/>
      <c r="H17" s="2">
        <v>113</v>
      </c>
      <c r="I17" s="153"/>
      <c r="J17" s="3"/>
      <c r="K17" s="2">
        <v>163</v>
      </c>
      <c r="L17" s="153"/>
      <c r="M17" s="42"/>
      <c r="N17" s="176" t="str">
        <f>IF(AB2=1,"Oberer Grenzwert OGW =","Upper spec. limit USL =")</f>
        <v>Upper spec. limit USL =</v>
      </c>
      <c r="O17" s="176"/>
      <c r="P17" s="150">
        <v>12</v>
      </c>
      <c r="Q17" s="42"/>
      <c r="R17" s="42"/>
      <c r="S17" s="42"/>
      <c r="T17" s="42"/>
      <c r="U17" s="42"/>
      <c r="V17" s="42"/>
      <c r="W17" s="44"/>
      <c r="X17" s="44"/>
      <c r="Y17" s="44"/>
      <c r="Z17" s="45"/>
      <c r="AA17" s="46"/>
      <c r="AB17" s="46"/>
      <c r="AC17" s="46"/>
      <c r="AD17" s="10"/>
      <c r="AE17" s="10"/>
      <c r="AF17" s="10"/>
      <c r="AG17" s="10"/>
      <c r="AH17" s="10"/>
      <c r="AI17" s="52"/>
      <c r="AJ17" s="52"/>
      <c r="AK17" s="52"/>
      <c r="AL17" s="52"/>
      <c r="AM17" s="52"/>
      <c r="AN17" s="52"/>
      <c r="AO17" s="52"/>
      <c r="AP17" s="10"/>
      <c r="AQ17" s="10"/>
      <c r="AR17" s="10"/>
      <c r="AS17" s="10"/>
      <c r="AT17" s="10"/>
      <c r="AU17" s="10"/>
      <c r="AV17" s="11"/>
      <c r="AW17" s="11"/>
      <c r="AX17" s="11"/>
      <c r="AY17" s="11"/>
      <c r="AZ17" s="11"/>
      <c r="BA17" s="10"/>
      <c r="BB17" s="12"/>
      <c r="BC17" s="57"/>
      <c r="BD17" s="13"/>
      <c r="BE17" s="14"/>
      <c r="BF17" s="15"/>
      <c r="BG17" s="16"/>
      <c r="BH17" s="17"/>
      <c r="BI17" s="18"/>
      <c r="BJ17" s="17"/>
      <c r="BK17" s="19"/>
      <c r="BL17" s="11"/>
      <c r="BM17" s="1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</row>
    <row r="18" spans="1:112" s="43" customFormat="1" x14ac:dyDescent="0.45">
      <c r="A18" s="40"/>
      <c r="B18" s="4">
        <v>14</v>
      </c>
      <c r="C18" s="153">
        <v>10.5</v>
      </c>
      <c r="D18" s="6"/>
      <c r="E18" s="4">
        <v>64</v>
      </c>
      <c r="F18" s="153"/>
      <c r="G18" s="3"/>
      <c r="H18" s="2">
        <v>114</v>
      </c>
      <c r="I18" s="153"/>
      <c r="J18" s="3"/>
      <c r="K18" s="2">
        <v>164</v>
      </c>
      <c r="L18" s="153"/>
      <c r="M18" s="42"/>
      <c r="N18" s="178" t="str">
        <f>IF(AB2=1,"Anzahl Klassen Histogramm =","Number of classes histogram =")</f>
        <v>Number of classes histogram =</v>
      </c>
      <c r="O18" s="178"/>
      <c r="P18" s="78">
        <v>5</v>
      </c>
      <c r="Q18" s="42"/>
      <c r="R18" s="42"/>
      <c r="S18" s="42"/>
      <c r="T18" s="42"/>
      <c r="U18" s="42"/>
      <c r="V18" s="42"/>
      <c r="W18" s="44"/>
      <c r="X18" s="44"/>
      <c r="Y18" s="44"/>
      <c r="Z18" s="45"/>
      <c r="AA18" s="46"/>
      <c r="AB18" s="46"/>
      <c r="AC18" s="46"/>
      <c r="AD18" s="10"/>
      <c r="AE18" s="10"/>
      <c r="AF18" s="10"/>
      <c r="AG18" s="10"/>
      <c r="AH18" s="10"/>
      <c r="AI18" s="52"/>
      <c r="AJ18" s="52"/>
      <c r="AK18" s="52"/>
      <c r="AL18" s="52"/>
      <c r="AM18" s="52"/>
      <c r="AN18" s="52"/>
      <c r="AO18" s="52"/>
      <c r="AP18" s="10"/>
      <c r="AQ18" s="10"/>
      <c r="AR18" s="10"/>
      <c r="AS18" s="10"/>
      <c r="AT18" s="10"/>
      <c r="AU18" s="10"/>
      <c r="AV18" s="53"/>
      <c r="AW18" s="54"/>
      <c r="AX18" s="23"/>
      <c r="AY18" s="11"/>
      <c r="AZ18" s="11"/>
      <c r="BA18" s="10"/>
      <c r="BB18" s="12"/>
      <c r="BC18" s="57"/>
      <c r="BD18" s="13"/>
      <c r="BE18" s="14"/>
      <c r="BF18" s="15"/>
      <c r="BG18" s="16"/>
      <c r="BH18" s="17"/>
      <c r="BI18" s="18"/>
      <c r="BJ18" s="17"/>
      <c r="BK18" s="19"/>
      <c r="BL18" s="11"/>
      <c r="BM18" s="1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</row>
    <row r="19" spans="1:112" s="43" customFormat="1" ht="20.65" x14ac:dyDescent="0.45">
      <c r="A19" s="40"/>
      <c r="B19" s="4">
        <v>15</v>
      </c>
      <c r="C19" s="153">
        <v>10.8</v>
      </c>
      <c r="D19" s="6"/>
      <c r="E19" s="4">
        <v>65</v>
      </c>
      <c r="F19" s="153"/>
      <c r="G19" s="3"/>
      <c r="H19" s="2">
        <v>115</v>
      </c>
      <c r="I19" s="153"/>
      <c r="J19" s="3"/>
      <c r="K19" s="2">
        <v>165</v>
      </c>
      <c r="L19" s="153"/>
      <c r="M19" s="42"/>
      <c r="N19" s="157" t="s">
        <v>89</v>
      </c>
      <c r="O19" s="157">
        <v>1.33</v>
      </c>
      <c r="P19" s="157" t="s">
        <v>46</v>
      </c>
      <c r="Q19" s="42"/>
      <c r="R19" s="42"/>
      <c r="S19" s="42"/>
      <c r="T19" s="42"/>
      <c r="U19" s="42"/>
      <c r="V19" s="42"/>
      <c r="W19" s="44"/>
      <c r="X19" s="44"/>
      <c r="Y19" s="44"/>
      <c r="Z19" s="45"/>
      <c r="AA19" s="46"/>
      <c r="AB19" s="46"/>
      <c r="AC19" s="46"/>
      <c r="AD19" s="10"/>
      <c r="AE19" s="10"/>
      <c r="AF19" s="10"/>
      <c r="AG19" s="10"/>
      <c r="AH19" s="10"/>
      <c r="AI19" s="52"/>
      <c r="AJ19" s="52"/>
      <c r="AK19" s="52"/>
      <c r="AL19" s="52"/>
      <c r="AM19" s="52"/>
      <c r="AN19" s="52"/>
      <c r="AO19" s="52"/>
      <c r="AP19" s="10"/>
      <c r="AQ19" s="10"/>
      <c r="AR19" s="10"/>
      <c r="AS19" s="10"/>
      <c r="AT19" s="10"/>
      <c r="AU19" s="10"/>
      <c r="AV19" s="53"/>
      <c r="AW19" s="54"/>
      <c r="AX19" s="23"/>
      <c r="AY19" s="11"/>
      <c r="AZ19" s="11"/>
      <c r="BA19" s="10"/>
      <c r="BB19" s="12"/>
      <c r="BC19" s="57"/>
      <c r="BD19" s="13"/>
      <c r="BE19" s="14"/>
      <c r="BF19" s="15"/>
      <c r="BG19" s="16"/>
      <c r="BH19" s="17"/>
      <c r="BI19" s="18"/>
      <c r="BJ19" s="17"/>
      <c r="BK19" s="19"/>
      <c r="BL19" s="11"/>
      <c r="BM19" s="1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</row>
    <row r="20" spans="1:112" s="43" customFormat="1" x14ac:dyDescent="0.45">
      <c r="A20" s="40"/>
      <c r="B20" s="4">
        <v>16</v>
      </c>
      <c r="C20" s="153">
        <v>10.6</v>
      </c>
      <c r="D20" s="6"/>
      <c r="E20" s="4">
        <v>66</v>
      </c>
      <c r="F20" s="153"/>
      <c r="G20" s="3"/>
      <c r="H20" s="2">
        <v>116</v>
      </c>
      <c r="I20" s="153"/>
      <c r="J20" s="3"/>
      <c r="K20" s="2">
        <v>166</v>
      </c>
      <c r="L20" s="153"/>
      <c r="M20" s="42"/>
      <c r="N20" s="10"/>
      <c r="O20" s="10"/>
      <c r="P20" s="10"/>
      <c r="Q20" s="42"/>
      <c r="R20" s="42"/>
      <c r="S20" s="42"/>
      <c r="T20" s="42"/>
      <c r="U20" s="42"/>
      <c r="V20" s="42"/>
      <c r="W20" s="44"/>
      <c r="X20" s="44"/>
      <c r="Y20" s="44"/>
      <c r="Z20" s="45"/>
      <c r="AA20" s="46"/>
      <c r="AB20" s="46"/>
      <c r="AC20" s="46"/>
      <c r="AD20" s="10"/>
      <c r="AE20" s="10"/>
      <c r="AF20" s="10"/>
      <c r="AG20" s="10"/>
      <c r="AH20" s="10"/>
      <c r="AI20" s="52"/>
      <c r="AJ20" s="52"/>
      <c r="AK20" s="52"/>
      <c r="AL20" s="52"/>
      <c r="AM20" s="52"/>
      <c r="AN20" s="52"/>
      <c r="AO20" s="52"/>
      <c r="AP20" s="10"/>
      <c r="AQ20" s="10"/>
      <c r="AR20" s="10"/>
      <c r="AS20" s="10"/>
      <c r="AT20" s="10"/>
      <c r="AU20" s="10"/>
      <c r="AV20" s="53"/>
      <c r="AW20" s="54"/>
      <c r="AX20" s="23"/>
      <c r="AY20" s="11"/>
      <c r="AZ20" s="11"/>
      <c r="BA20" s="10"/>
      <c r="BB20" s="12"/>
      <c r="BC20" s="57"/>
      <c r="BD20" s="13"/>
      <c r="BE20" s="14"/>
      <c r="BF20" s="15"/>
      <c r="BG20" s="16"/>
      <c r="BH20" s="17"/>
      <c r="BI20" s="18"/>
      <c r="BJ20" s="17"/>
      <c r="BK20" s="19"/>
      <c r="BL20" s="11"/>
      <c r="BM20" s="1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</row>
    <row r="21" spans="1:112" s="43" customFormat="1" x14ac:dyDescent="0.45">
      <c r="A21" s="40"/>
      <c r="B21" s="4">
        <v>17</v>
      </c>
      <c r="C21" s="153">
        <v>10.6</v>
      </c>
      <c r="D21" s="6"/>
      <c r="E21" s="4">
        <v>67</v>
      </c>
      <c r="F21" s="153"/>
      <c r="G21" s="3"/>
      <c r="H21" s="2">
        <v>117</v>
      </c>
      <c r="I21" s="153"/>
      <c r="J21" s="3"/>
      <c r="K21" s="2">
        <v>167</v>
      </c>
      <c r="L21" s="153"/>
      <c r="M21" s="42"/>
      <c r="N21" s="10"/>
      <c r="O21" s="10"/>
      <c r="P21" s="10"/>
      <c r="Q21" s="42"/>
      <c r="R21" s="42"/>
      <c r="S21" s="42"/>
      <c r="T21" s="42"/>
      <c r="U21" s="42"/>
      <c r="V21" s="42"/>
      <c r="W21" s="44"/>
      <c r="X21" s="44"/>
      <c r="Y21" s="44"/>
      <c r="Z21" s="45"/>
      <c r="AA21" s="46"/>
      <c r="AB21" s="46"/>
      <c r="AC21" s="46"/>
      <c r="AD21" s="10"/>
      <c r="AE21" s="10"/>
      <c r="AF21" s="10"/>
      <c r="AG21" s="10"/>
      <c r="AH21" s="10"/>
      <c r="AI21" s="52"/>
      <c r="AJ21" s="52"/>
      <c r="AK21" s="52"/>
      <c r="AL21" s="52"/>
      <c r="AM21" s="52"/>
      <c r="AN21" s="52"/>
      <c r="AO21" s="52"/>
      <c r="AP21" s="10"/>
      <c r="AQ21" s="10"/>
      <c r="AR21" s="10"/>
      <c r="AS21" s="10"/>
      <c r="AT21" s="10"/>
      <c r="AU21" s="10"/>
      <c r="AV21" s="53"/>
      <c r="AW21" s="54"/>
      <c r="AX21" s="23"/>
      <c r="AY21" s="11"/>
      <c r="AZ21" s="11"/>
      <c r="BA21" s="10"/>
      <c r="BB21" s="12"/>
      <c r="BC21" s="57"/>
      <c r="BD21" s="13"/>
      <c r="BE21" s="14"/>
      <c r="BF21" s="15"/>
      <c r="BG21" s="16"/>
      <c r="BH21" s="17"/>
      <c r="BI21" s="18"/>
      <c r="BJ21" s="17"/>
      <c r="BK21" s="19"/>
      <c r="BL21" s="11"/>
      <c r="BM21" s="1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</row>
    <row r="22" spans="1:112" s="43" customFormat="1" x14ac:dyDescent="0.45">
      <c r="A22" s="40"/>
      <c r="B22" s="4">
        <v>18</v>
      </c>
      <c r="C22" s="153">
        <v>10.5</v>
      </c>
      <c r="D22" s="6"/>
      <c r="E22" s="4">
        <v>68</v>
      </c>
      <c r="F22" s="153"/>
      <c r="G22" s="3"/>
      <c r="H22" s="2">
        <v>118</v>
      </c>
      <c r="I22" s="153"/>
      <c r="J22" s="3"/>
      <c r="K22" s="2">
        <v>168</v>
      </c>
      <c r="L22" s="153"/>
      <c r="M22" s="42"/>
      <c r="N22" s="10"/>
      <c r="O22" s="10"/>
      <c r="P22" s="10"/>
      <c r="Q22" s="42"/>
      <c r="R22" s="42"/>
      <c r="S22" s="42"/>
      <c r="T22" s="42"/>
      <c r="U22" s="42"/>
      <c r="V22" s="42"/>
      <c r="W22" s="44"/>
      <c r="X22" s="44"/>
      <c r="Y22" s="44"/>
      <c r="Z22" s="45"/>
      <c r="AA22" s="46"/>
      <c r="AB22" s="46"/>
      <c r="AC22" s="46"/>
      <c r="AD22" s="10"/>
      <c r="AE22" s="10"/>
      <c r="AF22" s="10"/>
      <c r="AG22" s="10"/>
      <c r="AH22" s="10"/>
      <c r="AI22" s="52"/>
      <c r="AJ22" s="52"/>
      <c r="AK22" s="52"/>
      <c r="AL22" s="52"/>
      <c r="AM22" s="52"/>
      <c r="AN22" s="52"/>
      <c r="AO22" s="52"/>
      <c r="AP22" s="10"/>
      <c r="AQ22" s="10"/>
      <c r="AR22" s="10"/>
      <c r="AS22" s="10"/>
      <c r="AT22" s="10"/>
      <c r="AU22" s="10"/>
      <c r="AV22" s="23"/>
      <c r="AW22" s="23"/>
      <c r="AX22" s="23"/>
      <c r="AY22" s="11"/>
      <c r="AZ22" s="11"/>
      <c r="BA22" s="10"/>
      <c r="BB22" s="12"/>
      <c r="BC22" s="57"/>
      <c r="BD22" s="13"/>
      <c r="BE22" s="14"/>
      <c r="BF22" s="15"/>
      <c r="BG22" s="16"/>
      <c r="BH22" s="17"/>
      <c r="BI22" s="18"/>
      <c r="BJ22" s="17"/>
      <c r="BK22" s="19"/>
      <c r="BL22" s="11"/>
      <c r="BM22" s="1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</row>
    <row r="23" spans="1:112" s="43" customFormat="1" x14ac:dyDescent="0.45">
      <c r="A23" s="40"/>
      <c r="B23" s="4">
        <v>19</v>
      </c>
      <c r="C23" s="153">
        <v>10.3</v>
      </c>
      <c r="D23" s="6"/>
      <c r="E23" s="4">
        <v>69</v>
      </c>
      <c r="F23" s="153"/>
      <c r="G23" s="3"/>
      <c r="H23" s="2">
        <v>119</v>
      </c>
      <c r="I23" s="153"/>
      <c r="J23" s="3"/>
      <c r="K23" s="2">
        <v>169</v>
      </c>
      <c r="L23" s="153"/>
      <c r="M23" s="42"/>
      <c r="N23" s="177" t="str">
        <f>IF(AB2=1,"Umfang der Stichprobe n","Sample size n")</f>
        <v>Sample size n</v>
      </c>
      <c r="O23" s="177"/>
      <c r="P23" s="58">
        <f>Anzahl</f>
        <v>26</v>
      </c>
      <c r="Q23" s="42"/>
      <c r="R23" s="42"/>
      <c r="S23" s="42"/>
      <c r="T23" s="42"/>
      <c r="U23" s="42"/>
      <c r="V23" s="42"/>
      <c r="W23" s="44"/>
      <c r="X23" s="44"/>
      <c r="Y23" s="44"/>
      <c r="Z23" s="45"/>
      <c r="AA23" s="46"/>
      <c r="AB23" s="46"/>
      <c r="AC23" s="46"/>
      <c r="AD23" s="10"/>
      <c r="AE23" s="10"/>
      <c r="AF23" s="10"/>
      <c r="AG23" s="10"/>
      <c r="AH23" s="10"/>
      <c r="AI23" s="52"/>
      <c r="AJ23" s="52"/>
      <c r="AK23" s="52"/>
      <c r="AL23" s="52"/>
      <c r="AM23" s="52"/>
      <c r="AN23" s="52"/>
      <c r="AO23" s="52"/>
      <c r="AP23" s="10"/>
      <c r="AQ23" s="10"/>
      <c r="AR23" s="10"/>
      <c r="AS23" s="10"/>
      <c r="AT23" s="10"/>
      <c r="AU23" s="10"/>
      <c r="AV23" s="187"/>
      <c r="AW23" s="187"/>
      <c r="AX23" s="187"/>
      <c r="AY23" s="11"/>
      <c r="AZ23" s="11"/>
      <c r="BA23" s="10"/>
      <c r="BB23" s="12"/>
      <c r="BC23" s="57"/>
      <c r="BD23" s="13"/>
      <c r="BE23" s="14"/>
      <c r="BF23" s="15"/>
      <c r="BG23" s="16"/>
      <c r="BH23" s="17"/>
      <c r="BI23" s="18"/>
      <c r="BJ23" s="17"/>
      <c r="BK23" s="19"/>
      <c r="BL23" s="10"/>
      <c r="BM23" s="1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</row>
    <row r="24" spans="1:112" s="43" customFormat="1" x14ac:dyDescent="0.45">
      <c r="A24" s="40"/>
      <c r="B24" s="4">
        <v>20</v>
      </c>
      <c r="C24" s="153">
        <v>10.4</v>
      </c>
      <c r="D24" s="6"/>
      <c r="E24" s="4">
        <v>70</v>
      </c>
      <c r="F24" s="153"/>
      <c r="G24" s="3"/>
      <c r="H24" s="2">
        <v>120</v>
      </c>
      <c r="I24" s="153"/>
      <c r="J24" s="3"/>
      <c r="K24" s="2">
        <v>170</v>
      </c>
      <c r="L24" s="153"/>
      <c r="M24" s="42"/>
      <c r="N24" s="176" t="str">
        <f>IF(AB2=1,"Mittelwert µ","mid µ")</f>
        <v>mid µ</v>
      </c>
      <c r="O24" s="176"/>
      <c r="P24" s="152">
        <f>Mittelwert</f>
        <v>10.504999999999997</v>
      </c>
      <c r="Q24" s="42"/>
      <c r="R24" s="42"/>
      <c r="S24" s="42"/>
      <c r="T24" s="42"/>
      <c r="U24" s="42"/>
      <c r="V24" s="42"/>
      <c r="W24" s="44"/>
      <c r="X24" s="44"/>
      <c r="Y24" s="44"/>
      <c r="Z24" s="45"/>
      <c r="AA24" s="46"/>
      <c r="AB24" s="46"/>
      <c r="AC24" s="46"/>
      <c r="AD24" s="10"/>
      <c r="AE24" s="10"/>
      <c r="AF24" s="10"/>
      <c r="AG24" s="10"/>
      <c r="AH24" s="10"/>
      <c r="AI24" s="52"/>
      <c r="AJ24" s="52"/>
      <c r="AK24" s="52"/>
      <c r="AL24" s="52"/>
      <c r="AM24" s="52"/>
      <c r="AN24" s="52"/>
      <c r="AO24" s="52"/>
      <c r="AP24" s="10"/>
      <c r="AQ24" s="10"/>
      <c r="AR24" s="10"/>
      <c r="AS24" s="10"/>
      <c r="AT24" s="10"/>
      <c r="AU24" s="10"/>
      <c r="AV24" s="23"/>
      <c r="AW24" s="54"/>
      <c r="AX24" s="23"/>
      <c r="AY24" s="11"/>
      <c r="AZ24" s="11"/>
      <c r="BA24" s="10"/>
      <c r="BB24" s="12"/>
      <c r="BC24" s="57"/>
      <c r="BD24" s="13"/>
      <c r="BE24" s="14"/>
      <c r="BF24" s="15"/>
      <c r="BG24" s="16"/>
      <c r="BH24" s="17"/>
      <c r="BI24" s="18"/>
      <c r="BJ24" s="17"/>
      <c r="BK24" s="19"/>
      <c r="BL24" s="10"/>
      <c r="BM24" s="1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</row>
    <row r="25" spans="1:112" s="43" customFormat="1" x14ac:dyDescent="0.45">
      <c r="A25" s="40"/>
      <c r="B25" s="4">
        <v>21</v>
      </c>
      <c r="C25" s="153">
        <v>10.4</v>
      </c>
      <c r="D25" s="6"/>
      <c r="E25" s="4">
        <v>71</v>
      </c>
      <c r="F25" s="153"/>
      <c r="G25" s="3"/>
      <c r="H25" s="2">
        <v>121</v>
      </c>
      <c r="I25" s="153"/>
      <c r="J25" s="3"/>
      <c r="K25" s="2">
        <v>171</v>
      </c>
      <c r="L25" s="153"/>
      <c r="M25" s="42"/>
      <c r="N25" s="176" t="str">
        <f>IF(AB2=1,"Standardabweichung s","Standart deviation s")</f>
        <v>Standart deviation s</v>
      </c>
      <c r="O25" s="176"/>
      <c r="P25" s="152">
        <f>Standardabweichung</f>
        <v>0.12621410380777551</v>
      </c>
      <c r="Q25" s="42"/>
      <c r="R25" s="42"/>
      <c r="S25" s="42"/>
      <c r="T25" s="42"/>
      <c r="U25" s="42"/>
      <c r="V25" s="42"/>
      <c r="W25" s="44"/>
      <c r="X25" s="44"/>
      <c r="Y25" s="44"/>
      <c r="Z25" s="45"/>
      <c r="AA25" s="46"/>
      <c r="AB25" s="46"/>
      <c r="AC25" s="46"/>
      <c r="AD25" s="10"/>
      <c r="AE25" s="10"/>
      <c r="AF25" s="10"/>
      <c r="AG25" s="10"/>
      <c r="AH25" s="10"/>
      <c r="AI25" s="52"/>
      <c r="AJ25" s="52"/>
      <c r="AK25" s="52"/>
      <c r="AL25" s="52"/>
      <c r="AM25" s="52"/>
      <c r="AN25" s="52"/>
      <c r="AO25" s="52"/>
      <c r="AP25" s="10"/>
      <c r="AQ25" s="10"/>
      <c r="AR25" s="10"/>
      <c r="AS25" s="10"/>
      <c r="AT25" s="10"/>
      <c r="AU25" s="10"/>
      <c r="AV25" s="23"/>
      <c r="AW25" s="54"/>
      <c r="AX25" s="23"/>
      <c r="AY25" s="11"/>
      <c r="AZ25" s="11"/>
      <c r="BA25" s="10"/>
      <c r="BB25" s="12"/>
      <c r="BC25" s="57"/>
      <c r="BD25" s="13"/>
      <c r="BE25" s="14"/>
      <c r="BF25" s="15"/>
      <c r="BG25" s="16"/>
      <c r="BH25" s="17"/>
      <c r="BI25" s="18"/>
      <c r="BJ25" s="17"/>
      <c r="BK25" s="19"/>
      <c r="BL25" s="10"/>
      <c r="BM25" s="1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</row>
    <row r="26" spans="1:112" s="43" customFormat="1" x14ac:dyDescent="0.45">
      <c r="A26" s="40"/>
      <c r="B26" s="4">
        <v>22</v>
      </c>
      <c r="C26" s="153">
        <v>10.6</v>
      </c>
      <c r="D26" s="6"/>
      <c r="E26" s="4">
        <v>72</v>
      </c>
      <c r="F26" s="153"/>
      <c r="G26" s="3"/>
      <c r="H26" s="2">
        <v>122</v>
      </c>
      <c r="I26" s="153"/>
      <c r="J26" s="3"/>
      <c r="K26" s="2">
        <v>172</v>
      </c>
      <c r="L26" s="153"/>
      <c r="M26" s="42"/>
      <c r="N26" s="177" t="str">
        <f>IF(AB2=1,"Die Werte sind","Values are")</f>
        <v>Values are</v>
      </c>
      <c r="O26" s="177"/>
      <c r="P26" s="80" t="str">
        <f>IF(Berechnung!BM20&lt;0.05,IF(AB2=2,"not normal distributed","nicht normalverteilt"),IF(AB2=1,"normalverteilt","normal distributed"))</f>
        <v>normal distributed</v>
      </c>
      <c r="Q26" s="42"/>
      <c r="R26" s="42"/>
      <c r="S26" s="42"/>
      <c r="T26" s="42"/>
      <c r="U26" s="42"/>
      <c r="V26" s="42"/>
      <c r="W26" s="44"/>
      <c r="X26" s="44"/>
      <c r="Y26" s="44"/>
      <c r="Z26" s="45"/>
      <c r="AA26" s="46"/>
      <c r="AB26" s="46"/>
      <c r="AC26" s="46"/>
      <c r="AD26" s="10"/>
      <c r="AE26" s="10"/>
      <c r="AF26" s="10"/>
      <c r="AG26" s="10"/>
      <c r="AH26" s="10"/>
      <c r="AI26" s="52"/>
      <c r="AJ26" s="52"/>
      <c r="AK26" s="52"/>
      <c r="AL26" s="52"/>
      <c r="AM26" s="52"/>
      <c r="AN26" s="52"/>
      <c r="AO26" s="5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2"/>
      <c r="BC26" s="57"/>
      <c r="BD26" s="13"/>
      <c r="BE26" s="14"/>
      <c r="BF26" s="15"/>
      <c r="BG26" s="16"/>
      <c r="BH26" s="17"/>
      <c r="BI26" s="18"/>
      <c r="BJ26" s="17"/>
      <c r="BK26" s="19"/>
      <c r="BL26" s="10"/>
      <c r="BM26" s="1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</row>
    <row r="27" spans="1:112" s="43" customFormat="1" ht="21" customHeight="1" x14ac:dyDescent="0.45">
      <c r="A27" s="40"/>
      <c r="B27" s="4">
        <v>23</v>
      </c>
      <c r="C27" s="153">
        <v>10.7</v>
      </c>
      <c r="D27" s="6"/>
      <c r="E27" s="4">
        <v>73</v>
      </c>
      <c r="F27" s="153"/>
      <c r="G27" s="3"/>
      <c r="H27" s="2">
        <v>123</v>
      </c>
      <c r="I27" s="153"/>
      <c r="J27" s="3"/>
      <c r="K27" s="2">
        <v>173</v>
      </c>
      <c r="L27" s="153"/>
      <c r="M27" s="42"/>
      <c r="N27" s="169"/>
      <c r="O27" s="170"/>
      <c r="Q27" s="42"/>
      <c r="R27" s="42"/>
      <c r="S27" s="42"/>
      <c r="T27" s="42"/>
      <c r="U27" s="42"/>
      <c r="V27" s="42"/>
      <c r="W27" s="44"/>
      <c r="X27" s="44"/>
      <c r="Y27" s="44"/>
      <c r="Z27" s="45"/>
      <c r="AA27" s="46"/>
      <c r="AB27" s="46"/>
      <c r="AC27" s="46"/>
      <c r="AD27" s="10"/>
      <c r="AE27" s="10"/>
      <c r="AF27" s="10"/>
      <c r="AG27" s="10"/>
      <c r="AH27" s="10"/>
      <c r="AI27" s="52"/>
      <c r="AJ27" s="52"/>
      <c r="AK27" s="52"/>
      <c r="AL27" s="52"/>
      <c r="AM27" s="52"/>
      <c r="AN27" s="52"/>
      <c r="AO27" s="5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2"/>
      <c r="BC27" s="57"/>
      <c r="BD27" s="13"/>
      <c r="BE27" s="14"/>
      <c r="BF27" s="15"/>
      <c r="BG27" s="16"/>
      <c r="BH27" s="17"/>
      <c r="BI27" s="18"/>
      <c r="BJ27" s="17"/>
      <c r="BK27" s="19"/>
      <c r="BL27" s="10"/>
      <c r="BM27" s="1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</row>
    <row r="28" spans="1:112" s="43" customFormat="1" ht="21" customHeight="1" x14ac:dyDescent="0.45">
      <c r="A28" s="40"/>
      <c r="B28" s="4">
        <v>24</v>
      </c>
      <c r="C28" s="153">
        <v>10.6</v>
      </c>
      <c r="D28" s="6"/>
      <c r="E28" s="4">
        <v>74</v>
      </c>
      <c r="F28" s="153"/>
      <c r="G28" s="3"/>
      <c r="H28" s="2">
        <v>124</v>
      </c>
      <c r="I28" s="153"/>
      <c r="J28" s="3"/>
      <c r="K28" s="2">
        <v>174</v>
      </c>
      <c r="L28" s="153"/>
      <c r="M28" s="42"/>
      <c r="N28" s="198" t="s">
        <v>44</v>
      </c>
      <c r="O28" s="199"/>
      <c r="P28" s="151">
        <f>Median</f>
        <v>10.5</v>
      </c>
      <c r="Q28" s="42"/>
      <c r="R28" s="42"/>
      <c r="S28" s="42"/>
      <c r="T28" s="42"/>
      <c r="U28" s="42"/>
      <c r="V28" s="42"/>
      <c r="W28" s="44"/>
      <c r="X28" s="44"/>
      <c r="Y28" s="44"/>
      <c r="Z28" s="45"/>
      <c r="AA28" s="46"/>
      <c r="AB28" s="46"/>
      <c r="AC28" s="46"/>
      <c r="AD28" s="10"/>
      <c r="AE28" s="10"/>
      <c r="AF28" s="10"/>
      <c r="AG28" s="10"/>
      <c r="AH28" s="10"/>
      <c r="AI28" s="52"/>
      <c r="AJ28" s="52"/>
      <c r="AK28" s="52"/>
      <c r="AL28" s="52"/>
      <c r="AM28" s="52"/>
      <c r="AN28" s="52"/>
      <c r="AO28" s="5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2"/>
      <c r="BC28" s="57"/>
      <c r="BD28" s="13"/>
      <c r="BE28" s="14"/>
      <c r="BF28" s="15"/>
      <c r="BG28" s="16"/>
      <c r="BH28" s="17"/>
      <c r="BI28" s="18"/>
      <c r="BJ28" s="17"/>
      <c r="BK28" s="19"/>
      <c r="BL28" s="10"/>
      <c r="BM28" s="1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</row>
    <row r="29" spans="1:112" s="43" customFormat="1" x14ac:dyDescent="0.45">
      <c r="A29" s="40"/>
      <c r="B29" s="4">
        <v>25</v>
      </c>
      <c r="C29" s="153">
        <v>10.5</v>
      </c>
      <c r="D29" s="6"/>
      <c r="E29" s="4">
        <v>75</v>
      </c>
      <c r="F29" s="153"/>
      <c r="G29" s="3"/>
      <c r="H29" s="2">
        <v>125</v>
      </c>
      <c r="I29" s="153"/>
      <c r="J29" s="3"/>
      <c r="K29" s="2">
        <v>175</v>
      </c>
      <c r="L29" s="153"/>
      <c r="M29" s="42"/>
      <c r="N29" s="198" t="str">
        <f>IF(AB2=1,"Spannweite R","Range R")</f>
        <v>Range R</v>
      </c>
      <c r="O29" s="199"/>
      <c r="P29" s="151">
        <f>Spannweite</f>
        <v>0.5</v>
      </c>
      <c r="Q29" s="42"/>
      <c r="R29" s="42"/>
      <c r="S29" s="42"/>
      <c r="T29" s="42"/>
      <c r="U29" s="42"/>
      <c r="V29" s="42"/>
      <c r="W29" s="44"/>
      <c r="X29" s="44"/>
      <c r="Y29" s="44"/>
      <c r="Z29" s="45"/>
      <c r="AA29" s="46"/>
      <c r="AB29" s="46"/>
      <c r="AC29" s="46"/>
      <c r="AD29" s="10"/>
      <c r="AE29" s="10"/>
      <c r="AF29" s="10"/>
      <c r="AG29" s="10"/>
      <c r="AH29" s="10"/>
      <c r="AI29" s="52"/>
      <c r="AJ29" s="52"/>
      <c r="AK29" s="52"/>
      <c r="AL29" s="52"/>
      <c r="AM29" s="52"/>
      <c r="AN29" s="52"/>
      <c r="AO29" s="5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2"/>
      <c r="BC29" s="57"/>
      <c r="BD29" s="13"/>
      <c r="BE29" s="14"/>
      <c r="BF29" s="15"/>
      <c r="BG29" s="16"/>
      <c r="BH29" s="17"/>
      <c r="BI29" s="18"/>
      <c r="BJ29" s="17"/>
      <c r="BK29" s="19"/>
      <c r="BL29" s="10"/>
      <c r="BM29" s="1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</row>
    <row r="30" spans="1:112" s="43" customFormat="1" x14ac:dyDescent="0.45">
      <c r="A30" s="40"/>
      <c r="B30" s="4">
        <v>26</v>
      </c>
      <c r="C30" s="153">
        <v>10.33</v>
      </c>
      <c r="D30" s="6"/>
      <c r="E30" s="4">
        <v>76</v>
      </c>
      <c r="F30" s="153"/>
      <c r="G30" s="3"/>
      <c r="H30" s="2">
        <v>126</v>
      </c>
      <c r="I30" s="153"/>
      <c r="J30" s="3"/>
      <c r="K30" s="2">
        <v>176</v>
      </c>
      <c r="L30" s="153"/>
      <c r="M30" s="42"/>
      <c r="N30" s="200" t="s">
        <v>25</v>
      </c>
      <c r="O30" s="201"/>
      <c r="P30" s="151">
        <f>Minimum</f>
        <v>10.3</v>
      </c>
      <c r="Q30" s="42"/>
      <c r="R30" s="42"/>
      <c r="S30" s="42"/>
      <c r="T30" s="42"/>
      <c r="U30" s="42"/>
      <c r="V30" s="42"/>
      <c r="W30" s="44"/>
      <c r="X30" s="44"/>
      <c r="Y30" s="44"/>
      <c r="Z30" s="45"/>
      <c r="AA30" s="46"/>
      <c r="AB30" s="46"/>
      <c r="AC30" s="46"/>
      <c r="AD30" s="10"/>
      <c r="AE30" s="10"/>
      <c r="AF30" s="10"/>
      <c r="AG30" s="10"/>
      <c r="AH30" s="10"/>
      <c r="AI30" s="52"/>
      <c r="AJ30" s="52"/>
      <c r="AK30" s="52"/>
      <c r="AL30" s="52"/>
      <c r="AM30" s="52"/>
      <c r="AN30" s="52"/>
      <c r="AO30" s="5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2"/>
      <c r="BC30" s="57"/>
      <c r="BD30" s="13"/>
      <c r="BE30" s="14"/>
      <c r="BF30" s="15"/>
      <c r="BG30" s="16"/>
      <c r="BH30" s="17"/>
      <c r="BI30" s="18"/>
      <c r="BJ30" s="17"/>
      <c r="BK30" s="19"/>
      <c r="BL30" s="10"/>
      <c r="BM30" s="1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</row>
    <row r="31" spans="1:112" s="43" customFormat="1" x14ac:dyDescent="0.45">
      <c r="A31" s="40"/>
      <c r="B31" s="4">
        <v>27</v>
      </c>
      <c r="C31" s="153"/>
      <c r="D31" s="6"/>
      <c r="E31" s="4">
        <v>77</v>
      </c>
      <c r="F31" s="153"/>
      <c r="G31" s="3"/>
      <c r="H31" s="2">
        <v>127</v>
      </c>
      <c r="I31" s="153"/>
      <c r="J31" s="3"/>
      <c r="K31" s="2">
        <v>177</v>
      </c>
      <c r="L31" s="153"/>
      <c r="M31" s="42"/>
      <c r="N31" s="200" t="s">
        <v>26</v>
      </c>
      <c r="O31" s="201"/>
      <c r="P31" s="151">
        <f>Maximum</f>
        <v>10.8</v>
      </c>
      <c r="Q31" s="42"/>
      <c r="R31" s="42"/>
      <c r="S31" s="42"/>
      <c r="T31" s="42"/>
      <c r="U31" s="42"/>
      <c r="V31" s="42"/>
      <c r="W31" s="44"/>
      <c r="X31" s="44"/>
      <c r="Y31" s="44"/>
      <c r="Z31" s="45"/>
      <c r="AA31" s="46"/>
      <c r="AB31" s="46"/>
      <c r="AC31" s="46"/>
      <c r="AD31" s="10"/>
      <c r="AE31" s="10"/>
      <c r="AF31" s="10"/>
      <c r="AG31" s="10"/>
      <c r="AH31" s="10"/>
      <c r="AI31" s="52"/>
      <c r="AJ31" s="52"/>
      <c r="AK31" s="52"/>
      <c r="AL31" s="52"/>
      <c r="AM31" s="52"/>
      <c r="AN31" s="52"/>
      <c r="AO31" s="5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2"/>
      <c r="BC31" s="57"/>
      <c r="BD31" s="13"/>
      <c r="BE31" s="14"/>
      <c r="BF31" s="15"/>
      <c r="BG31" s="16"/>
      <c r="BH31" s="17"/>
      <c r="BI31" s="18"/>
      <c r="BJ31" s="17"/>
      <c r="BK31" s="19"/>
      <c r="BL31" s="10"/>
      <c r="BM31" s="1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</row>
    <row r="32" spans="1:112" s="43" customFormat="1" ht="21" x14ac:dyDescent="0.55000000000000004">
      <c r="A32" s="40"/>
      <c r="B32" s="4">
        <v>28</v>
      </c>
      <c r="C32" s="153"/>
      <c r="D32" s="6"/>
      <c r="E32" s="4">
        <v>78</v>
      </c>
      <c r="F32" s="153"/>
      <c r="G32" s="3"/>
      <c r="H32" s="2">
        <v>128</v>
      </c>
      <c r="I32" s="153"/>
      <c r="J32" s="3"/>
      <c r="K32" s="2">
        <v>178</v>
      </c>
      <c r="L32" s="153"/>
      <c r="M32" s="42"/>
      <c r="N32" s="148"/>
      <c r="O32" s="149"/>
      <c r="P32" s="79"/>
      <c r="Q32" s="42"/>
      <c r="R32" s="42"/>
      <c r="S32" s="42"/>
      <c r="T32" s="42"/>
      <c r="U32" s="42"/>
      <c r="V32" s="42"/>
      <c r="W32" s="44"/>
      <c r="X32" s="44"/>
      <c r="Y32" s="44"/>
      <c r="Z32" s="45"/>
      <c r="AA32" s="46"/>
      <c r="AB32" s="46"/>
      <c r="AC32" s="46"/>
      <c r="AD32" s="10"/>
      <c r="AE32" s="10"/>
      <c r="AF32" s="10"/>
      <c r="AG32" s="10"/>
      <c r="AH32" s="10"/>
      <c r="AI32" s="52"/>
      <c r="AJ32" s="52"/>
      <c r="AK32" s="52"/>
      <c r="AL32" s="52"/>
      <c r="AM32" s="52"/>
      <c r="AN32" s="52"/>
      <c r="AO32" s="5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2"/>
      <c r="BC32" s="57"/>
      <c r="BD32" s="13"/>
      <c r="BE32" s="14"/>
      <c r="BF32" s="15"/>
      <c r="BG32" s="16"/>
      <c r="BH32" s="17"/>
      <c r="BI32" s="18"/>
      <c r="BJ32" s="17"/>
      <c r="BK32" s="19"/>
      <c r="BL32" s="10"/>
      <c r="BM32" s="1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</row>
    <row r="33" spans="1:112" s="43" customFormat="1" ht="21" x14ac:dyDescent="0.45">
      <c r="A33" s="40"/>
      <c r="B33" s="4">
        <v>29</v>
      </c>
      <c r="C33" s="153"/>
      <c r="D33" s="6"/>
      <c r="E33" s="4">
        <v>79</v>
      </c>
      <c r="F33" s="153"/>
      <c r="G33" s="3"/>
      <c r="H33" s="2">
        <v>129</v>
      </c>
      <c r="I33" s="153"/>
      <c r="J33" s="3"/>
      <c r="K33" s="2">
        <v>179</v>
      </c>
      <c r="L33" s="153"/>
      <c r="M33" s="42"/>
      <c r="N33" s="202" t="str">
        <f>IF(AB2=1,"Fähigkeits
kennwerte","Capability indices")</f>
        <v>Capability indices</v>
      </c>
      <c r="O33" s="163" t="s">
        <v>94</v>
      </c>
      <c r="P33" s="59">
        <f>CPU</f>
        <v>1.3337125428526169</v>
      </c>
      <c r="Q33" s="42"/>
      <c r="R33" s="42"/>
      <c r="S33" s="42"/>
      <c r="T33" s="42"/>
      <c r="U33" s="42"/>
      <c r="V33" s="42"/>
      <c r="W33" s="44"/>
      <c r="X33" s="44"/>
      <c r="Y33" s="44"/>
      <c r="Z33" s="45"/>
      <c r="AA33" s="46"/>
      <c r="AB33" s="46"/>
      <c r="AC33" s="46"/>
      <c r="AD33" s="10"/>
      <c r="AE33" s="10"/>
      <c r="AF33" s="10"/>
      <c r="AG33" s="10"/>
      <c r="AH33" s="10"/>
      <c r="AI33" s="52"/>
      <c r="AJ33" s="52"/>
      <c r="AK33" s="52"/>
      <c r="AL33" s="52"/>
      <c r="AM33" s="52"/>
      <c r="AN33" s="52"/>
      <c r="AO33" s="5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2"/>
      <c r="BC33" s="57"/>
      <c r="BD33" s="13"/>
      <c r="BE33" s="14"/>
      <c r="BF33" s="15"/>
      <c r="BG33" s="16"/>
      <c r="BH33" s="17"/>
      <c r="BI33" s="18"/>
      <c r="BJ33" s="17"/>
      <c r="BK33" s="19"/>
      <c r="BL33" s="10"/>
      <c r="BM33" s="1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</row>
    <row r="34" spans="1:112" s="43" customFormat="1" ht="21" x14ac:dyDescent="0.45">
      <c r="A34" s="40"/>
      <c r="B34" s="4">
        <v>30</v>
      </c>
      <c r="C34" s="153"/>
      <c r="D34" s="6"/>
      <c r="E34" s="4">
        <v>80</v>
      </c>
      <c r="F34" s="153"/>
      <c r="G34" s="3"/>
      <c r="H34" s="2">
        <v>130</v>
      </c>
      <c r="I34" s="153"/>
      <c r="J34" s="3"/>
      <c r="K34" s="2">
        <v>180</v>
      </c>
      <c r="L34" s="153"/>
      <c r="M34" s="42"/>
      <c r="N34" s="202"/>
      <c r="O34" s="163" t="s">
        <v>95</v>
      </c>
      <c r="P34" s="59">
        <f>CPO</f>
        <v>3.9483173298310432</v>
      </c>
      <c r="Q34" s="42"/>
      <c r="R34" s="42"/>
      <c r="S34" s="42"/>
      <c r="T34" s="42"/>
      <c r="U34" s="42"/>
      <c r="V34" s="42"/>
      <c r="W34" s="44"/>
      <c r="X34" s="44"/>
      <c r="Y34" s="44"/>
      <c r="Z34" s="45"/>
      <c r="AA34" s="46"/>
      <c r="AB34" s="46"/>
      <c r="AC34" s="46"/>
      <c r="AD34" s="10"/>
      <c r="AE34" s="10"/>
      <c r="AF34" s="10"/>
      <c r="AG34" s="10"/>
      <c r="AH34" s="10"/>
      <c r="AI34" s="52"/>
      <c r="AJ34" s="52"/>
      <c r="AK34" s="52"/>
      <c r="AL34" s="52"/>
      <c r="AM34" s="52"/>
      <c r="AN34" s="52"/>
      <c r="AO34" s="5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2"/>
      <c r="BC34" s="57"/>
      <c r="BD34" s="13"/>
      <c r="BE34" s="14"/>
      <c r="BF34" s="15"/>
      <c r="BG34" s="16"/>
      <c r="BH34" s="17"/>
      <c r="BI34" s="18"/>
      <c r="BJ34" s="17"/>
      <c r="BK34" s="19"/>
      <c r="BL34" s="10"/>
      <c r="BM34" s="1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</row>
    <row r="35" spans="1:112" s="43" customFormat="1" ht="21" x14ac:dyDescent="0.45">
      <c r="A35" s="40"/>
      <c r="B35" s="4">
        <v>31</v>
      </c>
      <c r="C35" s="153"/>
      <c r="D35" s="6"/>
      <c r="E35" s="4">
        <v>81</v>
      </c>
      <c r="F35" s="153"/>
      <c r="G35" s="3"/>
      <c r="H35" s="2">
        <v>131</v>
      </c>
      <c r="I35" s="153"/>
      <c r="J35" s="3"/>
      <c r="K35" s="2">
        <v>181</v>
      </c>
      <c r="L35" s="153"/>
      <c r="M35" s="42"/>
      <c r="N35" s="202"/>
      <c r="O35" s="163" t="s">
        <v>96</v>
      </c>
      <c r="P35" s="59">
        <f>CP</f>
        <v>2.64101493634183</v>
      </c>
      <c r="Q35" s="42"/>
      <c r="R35" s="42"/>
      <c r="S35" s="42"/>
      <c r="T35" s="42"/>
      <c r="U35" s="42"/>
      <c r="V35" s="42"/>
      <c r="W35" s="44"/>
      <c r="X35" s="44"/>
      <c r="Y35" s="44"/>
      <c r="Z35" s="45"/>
      <c r="AA35" s="46"/>
      <c r="AB35" s="46"/>
      <c r="AC35" s="46"/>
      <c r="AD35" s="10"/>
      <c r="AE35" s="10"/>
      <c r="AF35" s="10"/>
      <c r="AG35" s="10"/>
      <c r="AH35" s="10"/>
      <c r="AI35" s="52"/>
      <c r="AJ35" s="52"/>
      <c r="AK35" s="52"/>
      <c r="AL35" s="52"/>
      <c r="AM35" s="52"/>
      <c r="AN35" s="52"/>
      <c r="AO35" s="5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2"/>
      <c r="BC35" s="57"/>
      <c r="BD35" s="13"/>
      <c r="BE35" s="14"/>
      <c r="BF35" s="15"/>
      <c r="BG35" s="16"/>
      <c r="BH35" s="17"/>
      <c r="BI35" s="18"/>
      <c r="BJ35" s="17"/>
      <c r="BK35" s="19"/>
      <c r="BL35" s="10"/>
      <c r="BM35" s="1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</row>
    <row r="36" spans="1:112" s="43" customFormat="1" ht="21" x14ac:dyDescent="0.45">
      <c r="A36" s="40"/>
      <c r="B36" s="4">
        <v>32</v>
      </c>
      <c r="C36" s="153"/>
      <c r="D36" s="6"/>
      <c r="E36" s="4">
        <v>82</v>
      </c>
      <c r="F36" s="153"/>
      <c r="G36" s="3"/>
      <c r="H36" s="2">
        <v>132</v>
      </c>
      <c r="I36" s="153"/>
      <c r="J36" s="3"/>
      <c r="K36" s="2">
        <v>182</v>
      </c>
      <c r="L36" s="153"/>
      <c r="M36" s="42"/>
      <c r="N36" s="202"/>
      <c r="O36" s="163" t="s">
        <v>97</v>
      </c>
      <c r="P36" s="59">
        <f>CPK</f>
        <v>1.3337125428526169</v>
      </c>
      <c r="Q36" s="42"/>
      <c r="R36" s="42"/>
      <c r="S36" s="42"/>
      <c r="T36" s="42"/>
      <c r="U36" s="42"/>
      <c r="V36" s="42"/>
      <c r="W36" s="44"/>
      <c r="X36" s="44"/>
      <c r="Y36" s="44"/>
      <c r="Z36" s="45"/>
      <c r="AA36" s="46"/>
      <c r="AB36" s="46"/>
      <c r="AC36" s="46"/>
      <c r="AD36" s="10"/>
      <c r="AE36" s="10"/>
      <c r="AF36" s="10"/>
      <c r="AG36" s="10"/>
      <c r="AH36" s="10"/>
      <c r="AI36" s="52"/>
      <c r="AJ36" s="52"/>
      <c r="AK36" s="52"/>
      <c r="AL36" s="52"/>
      <c r="AM36" s="52"/>
      <c r="AN36" s="52"/>
      <c r="AO36" s="5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2"/>
      <c r="BC36" s="57"/>
      <c r="BD36" s="13"/>
      <c r="BE36" s="14"/>
      <c r="BF36" s="15"/>
      <c r="BG36" s="16"/>
      <c r="BH36" s="17"/>
      <c r="BI36" s="18"/>
      <c r="BJ36" s="17"/>
      <c r="BK36" s="19"/>
      <c r="BL36" s="10"/>
      <c r="BM36" s="1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</row>
    <row r="37" spans="1:112" s="43" customFormat="1" ht="21" x14ac:dyDescent="0.55000000000000004">
      <c r="A37" s="40"/>
      <c r="B37" s="4">
        <v>33</v>
      </c>
      <c r="C37" s="153"/>
      <c r="D37" s="6"/>
      <c r="E37" s="4">
        <v>83</v>
      </c>
      <c r="F37" s="153"/>
      <c r="G37" s="3"/>
      <c r="H37" s="2">
        <v>133</v>
      </c>
      <c r="I37" s="153"/>
      <c r="J37" s="3"/>
      <c r="K37" s="2">
        <v>183</v>
      </c>
      <c r="L37" s="153"/>
      <c r="M37" s="42"/>
      <c r="N37" s="148"/>
      <c r="O37" s="149"/>
      <c r="P37" s="79"/>
      <c r="Q37" s="42"/>
      <c r="R37" s="42"/>
      <c r="S37" s="42"/>
      <c r="T37" s="42"/>
      <c r="U37" s="42"/>
      <c r="V37" s="42"/>
      <c r="W37" s="44"/>
      <c r="X37" s="44"/>
      <c r="Y37" s="44"/>
      <c r="Z37" s="45"/>
      <c r="AA37" s="46"/>
      <c r="AB37" s="46"/>
      <c r="AC37" s="46"/>
      <c r="AD37" s="10"/>
      <c r="AE37" s="10"/>
      <c r="AF37" s="10"/>
      <c r="AG37" s="10"/>
      <c r="AH37" s="10"/>
      <c r="AI37" s="52"/>
      <c r="AJ37" s="52"/>
      <c r="AK37" s="52"/>
      <c r="AL37" s="52"/>
      <c r="AM37" s="52"/>
      <c r="AN37" s="52"/>
      <c r="AO37" s="5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2"/>
      <c r="BC37" s="57"/>
      <c r="BD37" s="13"/>
      <c r="BE37" s="14"/>
      <c r="BF37" s="15"/>
      <c r="BG37" s="16"/>
      <c r="BH37" s="17"/>
      <c r="BI37" s="18"/>
      <c r="BJ37" s="17"/>
      <c r="BK37" s="19"/>
      <c r="BL37" s="10"/>
      <c r="BM37" s="1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</row>
    <row r="38" spans="1:112" s="43" customFormat="1" x14ac:dyDescent="0.45">
      <c r="A38" s="40"/>
      <c r="B38" s="4">
        <v>34</v>
      </c>
      <c r="C38" s="153"/>
      <c r="D38" s="6"/>
      <c r="E38" s="4">
        <v>84</v>
      </c>
      <c r="F38" s="153"/>
      <c r="G38" s="3"/>
      <c r="H38" s="2">
        <v>134</v>
      </c>
      <c r="I38" s="153"/>
      <c r="J38" s="3"/>
      <c r="K38" s="2">
        <v>184</v>
      </c>
      <c r="L38" s="153"/>
      <c r="M38" s="42"/>
      <c r="N38" s="179" t="s">
        <v>81</v>
      </c>
      <c r="O38" s="180"/>
      <c r="P38" s="156">
        <f>sigmalevel</f>
        <v>4.0011376285579114</v>
      </c>
      <c r="Q38" s="42"/>
      <c r="R38" s="42"/>
      <c r="S38" s="42"/>
      <c r="T38" s="42"/>
      <c r="U38" s="42"/>
      <c r="V38" s="42"/>
      <c r="W38" s="44"/>
      <c r="X38" s="44"/>
      <c r="Y38" s="44"/>
      <c r="Z38" s="45"/>
      <c r="AA38" s="46"/>
      <c r="AB38" s="46"/>
      <c r="AC38" s="46"/>
      <c r="AD38" s="10"/>
      <c r="AE38" s="10"/>
      <c r="AF38" s="10"/>
      <c r="AG38" s="10"/>
      <c r="AH38" s="10"/>
      <c r="AI38" s="52"/>
      <c r="AJ38" s="52"/>
      <c r="AK38" s="52"/>
      <c r="AL38" s="52"/>
      <c r="AM38" s="52"/>
      <c r="AN38" s="52"/>
      <c r="AO38" s="5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2"/>
      <c r="BC38" s="57"/>
      <c r="BD38" s="13"/>
      <c r="BE38" s="14"/>
      <c r="BF38" s="15"/>
      <c r="BG38" s="16"/>
      <c r="BH38" s="17"/>
      <c r="BI38" s="18"/>
      <c r="BJ38" s="17"/>
      <c r="BK38" s="19"/>
      <c r="BL38" s="10"/>
      <c r="BM38" s="1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</row>
    <row r="39" spans="1:112" s="43" customFormat="1" x14ac:dyDescent="0.45">
      <c r="A39" s="40"/>
      <c r="B39" s="4">
        <v>35</v>
      </c>
      <c r="C39" s="153"/>
      <c r="D39" s="6"/>
      <c r="E39" s="4">
        <v>85</v>
      </c>
      <c r="F39" s="153"/>
      <c r="G39" s="3"/>
      <c r="H39" s="2">
        <v>135</v>
      </c>
      <c r="I39" s="153"/>
      <c r="J39" s="3"/>
      <c r="K39" s="2">
        <v>185</v>
      </c>
      <c r="L39" s="153"/>
      <c r="M39" s="42"/>
      <c r="N39" s="179" t="str">
        <f>IF(AB2=1,"pot. fehlerhafte Teile % =","Potentially bad parts % =")</f>
        <v>Potentially bad parts % =</v>
      </c>
      <c r="O39" s="180"/>
      <c r="P39" s="162">
        <f>anteilnio</f>
        <v>3.1519338660088092E-5</v>
      </c>
      <c r="Q39" s="42"/>
      <c r="R39" s="42"/>
      <c r="S39" s="42"/>
      <c r="T39" s="42"/>
      <c r="U39" s="42"/>
      <c r="V39" s="42"/>
      <c r="W39" s="44"/>
      <c r="X39" s="44"/>
      <c r="Y39" s="44"/>
      <c r="Z39" s="45"/>
      <c r="AA39" s="46"/>
      <c r="AB39" s="46"/>
      <c r="AC39" s="46"/>
      <c r="AD39" s="10"/>
      <c r="AE39" s="10"/>
      <c r="AF39" s="10"/>
      <c r="AG39" s="10"/>
      <c r="AH39" s="10"/>
      <c r="AI39" s="52"/>
      <c r="AJ39" s="52"/>
      <c r="AK39" s="52"/>
      <c r="AL39" s="52"/>
      <c r="AM39" s="52"/>
      <c r="AN39" s="52"/>
      <c r="AO39" s="5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2"/>
      <c r="BC39" s="57"/>
      <c r="BD39" s="13"/>
      <c r="BE39" s="14"/>
      <c r="BF39" s="15"/>
      <c r="BG39" s="16"/>
      <c r="BH39" s="17"/>
      <c r="BI39" s="18"/>
      <c r="BJ39" s="17"/>
      <c r="BK39" s="19"/>
      <c r="BL39" s="10"/>
      <c r="BM39" s="1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</row>
    <row r="40" spans="1:112" s="43" customFormat="1" ht="21" customHeight="1" x14ac:dyDescent="0.45">
      <c r="A40" s="40"/>
      <c r="B40" s="4">
        <v>36</v>
      </c>
      <c r="C40" s="153"/>
      <c r="D40" s="6"/>
      <c r="E40" s="4">
        <v>86</v>
      </c>
      <c r="F40" s="153"/>
      <c r="G40" s="3"/>
      <c r="H40" s="2">
        <v>136</v>
      </c>
      <c r="I40" s="153"/>
      <c r="J40" s="3"/>
      <c r="K40" s="2">
        <v>186</v>
      </c>
      <c r="L40" s="153"/>
      <c r="M40" s="42"/>
      <c r="N40" s="79"/>
      <c r="O40" s="79"/>
      <c r="P40" s="79"/>
      <c r="Q40" s="42"/>
      <c r="R40" s="42"/>
      <c r="S40" s="42"/>
      <c r="T40" s="42"/>
      <c r="U40" s="42"/>
      <c r="V40" s="42"/>
      <c r="W40" s="44"/>
      <c r="X40" s="44"/>
      <c r="Y40" s="44"/>
      <c r="Z40" s="45"/>
      <c r="AA40" s="46"/>
      <c r="AB40" s="46"/>
      <c r="AC40" s="46"/>
      <c r="AD40" s="10"/>
      <c r="AE40" s="10"/>
      <c r="AF40" s="10"/>
      <c r="AG40" s="10"/>
      <c r="AH40" s="10"/>
      <c r="AI40" s="52"/>
      <c r="AJ40" s="52"/>
      <c r="AK40" s="52"/>
      <c r="AL40" s="52"/>
      <c r="AM40" s="52"/>
      <c r="AN40" s="52"/>
      <c r="AO40" s="5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2"/>
      <c r="BC40" s="57"/>
      <c r="BD40" s="13"/>
      <c r="BE40" s="14"/>
      <c r="BF40" s="15"/>
      <c r="BG40" s="16"/>
      <c r="BH40" s="17"/>
      <c r="BI40" s="18"/>
      <c r="BJ40" s="17"/>
      <c r="BK40" s="19"/>
      <c r="BL40" s="10"/>
      <c r="BM40" s="1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</row>
    <row r="41" spans="1:112" s="43" customFormat="1" ht="21" customHeight="1" x14ac:dyDescent="0.45">
      <c r="A41" s="40"/>
      <c r="B41" s="4">
        <v>37</v>
      </c>
      <c r="C41" s="153"/>
      <c r="D41" s="6"/>
      <c r="E41" s="4">
        <v>87</v>
      </c>
      <c r="F41" s="153"/>
      <c r="G41" s="3"/>
      <c r="H41" s="2">
        <v>137</v>
      </c>
      <c r="I41" s="153"/>
      <c r="J41" s="3"/>
      <c r="K41" s="2">
        <v>187</v>
      </c>
      <c r="L41" s="153"/>
      <c r="M41" s="42"/>
      <c r="N41" s="181" t="str">
        <f>IF(AB2=1,"Berechnete Leistung DPPM","Calculated performance in DPPM")</f>
        <v>Calculated performance in DPPM</v>
      </c>
      <c r="O41" s="182"/>
      <c r="P41" s="183"/>
      <c r="Q41" s="42"/>
      <c r="R41" s="42"/>
      <c r="S41" s="42"/>
      <c r="T41" s="42"/>
      <c r="U41" s="42"/>
      <c r="V41" s="42"/>
      <c r="W41" s="44"/>
      <c r="X41" s="44"/>
      <c r="Y41" s="44"/>
      <c r="Z41" s="45"/>
      <c r="AA41" s="46"/>
      <c r="AB41" s="46"/>
      <c r="AC41" s="46"/>
      <c r="AD41" s="10"/>
      <c r="AE41" s="10"/>
      <c r="AF41" s="10"/>
      <c r="AG41" s="10"/>
      <c r="AH41" s="10"/>
      <c r="AI41" s="52"/>
      <c r="AJ41" s="52"/>
      <c r="AK41" s="52"/>
      <c r="AL41" s="52"/>
      <c r="AM41" s="52"/>
      <c r="AN41" s="52"/>
      <c r="AO41" s="5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2"/>
      <c r="BC41" s="57"/>
      <c r="BD41" s="13"/>
      <c r="BE41" s="14"/>
      <c r="BF41" s="15"/>
      <c r="BG41" s="16"/>
      <c r="BH41" s="17"/>
      <c r="BI41" s="18"/>
      <c r="BJ41" s="17"/>
      <c r="BK41" s="19"/>
      <c r="BL41" s="10"/>
      <c r="BM41" s="1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</row>
    <row r="42" spans="1:112" s="43" customFormat="1" ht="20.65" x14ac:dyDescent="0.45">
      <c r="A42" s="40"/>
      <c r="B42" s="4">
        <v>38</v>
      </c>
      <c r="C42" s="153"/>
      <c r="D42" s="6"/>
      <c r="E42" s="4">
        <v>88</v>
      </c>
      <c r="F42" s="153"/>
      <c r="G42" s="3"/>
      <c r="H42" s="2">
        <v>138</v>
      </c>
      <c r="I42" s="153"/>
      <c r="J42" s="3"/>
      <c r="K42" s="2">
        <v>188</v>
      </c>
      <c r="L42" s="153"/>
      <c r="M42" s="42"/>
      <c r="N42" s="184" t="str">
        <f>IF(AB2=1,"Überschreitungs- 
anteil","Exceedance")</f>
        <v>Exceedance</v>
      </c>
      <c r="O42" s="163" t="s">
        <v>60</v>
      </c>
      <c r="P42" s="60">
        <f>BERPUGW</f>
        <v>31.519338660088092</v>
      </c>
      <c r="Q42" s="42"/>
      <c r="R42" s="42"/>
      <c r="S42" s="42"/>
      <c r="T42" s="42"/>
      <c r="U42" s="42"/>
      <c r="V42" s="42"/>
      <c r="W42" s="44"/>
      <c r="X42" s="44"/>
      <c r="Y42" s="44"/>
      <c r="Z42" s="45"/>
      <c r="AA42" s="46"/>
      <c r="AB42" s="46"/>
      <c r="AC42" s="46"/>
      <c r="AD42" s="10"/>
      <c r="AE42" s="10"/>
      <c r="AF42" s="10"/>
      <c r="AG42" s="10"/>
      <c r="AH42" s="10"/>
      <c r="AI42" s="52"/>
      <c r="AJ42" s="52"/>
      <c r="AK42" s="52"/>
      <c r="AL42" s="52"/>
      <c r="AM42" s="52"/>
      <c r="AN42" s="52"/>
      <c r="AO42" s="5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2"/>
      <c r="BC42" s="57"/>
      <c r="BD42" s="13"/>
      <c r="BE42" s="14"/>
      <c r="BF42" s="15"/>
      <c r="BG42" s="16"/>
      <c r="BH42" s="17"/>
      <c r="BI42" s="18"/>
      <c r="BJ42" s="17"/>
      <c r="BK42" s="19"/>
      <c r="BL42" s="10"/>
      <c r="BM42" s="1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</row>
    <row r="43" spans="1:112" s="43" customFormat="1" ht="21" customHeight="1" x14ac:dyDescent="0.45">
      <c r="A43" s="40"/>
      <c r="B43" s="4">
        <v>39</v>
      </c>
      <c r="C43" s="153"/>
      <c r="D43" s="6"/>
      <c r="E43" s="4">
        <v>89</v>
      </c>
      <c r="F43" s="153"/>
      <c r="G43" s="3"/>
      <c r="H43" s="2">
        <v>139</v>
      </c>
      <c r="I43" s="153"/>
      <c r="J43" s="3"/>
      <c r="K43" s="2">
        <v>189</v>
      </c>
      <c r="L43" s="153"/>
      <c r="M43" s="42"/>
      <c r="N43" s="185"/>
      <c r="O43" s="163" t="s">
        <v>61</v>
      </c>
      <c r="P43" s="60">
        <f>BERPOGW</f>
        <v>0</v>
      </c>
      <c r="Q43" s="42"/>
      <c r="R43" s="42"/>
      <c r="S43" s="42"/>
      <c r="T43" s="42"/>
      <c r="U43" s="42"/>
      <c r="V43" s="42"/>
      <c r="W43" s="44"/>
      <c r="X43" s="44"/>
      <c r="Y43" s="44"/>
      <c r="Z43" s="45"/>
      <c r="AA43" s="46"/>
      <c r="AB43" s="46"/>
      <c r="AC43" s="46"/>
      <c r="AD43" s="10"/>
      <c r="AE43" s="10"/>
      <c r="AF43" s="10"/>
      <c r="AG43" s="10"/>
      <c r="AH43" s="10"/>
      <c r="AI43" s="52"/>
      <c r="AJ43" s="52"/>
      <c r="AK43" s="52"/>
      <c r="AL43" s="52"/>
      <c r="AM43" s="52"/>
      <c r="AN43" s="52"/>
      <c r="AO43" s="5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2"/>
      <c r="BC43" s="57"/>
      <c r="BD43" s="13"/>
      <c r="BE43" s="14"/>
      <c r="BF43" s="15"/>
      <c r="BG43" s="16"/>
      <c r="BH43" s="17"/>
      <c r="BI43" s="18"/>
      <c r="BJ43" s="17"/>
      <c r="BK43" s="19"/>
      <c r="BL43" s="10"/>
      <c r="BM43" s="1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</row>
    <row r="44" spans="1:112" s="43" customFormat="1" x14ac:dyDescent="0.45">
      <c r="A44" s="40"/>
      <c r="B44" s="4">
        <v>40</v>
      </c>
      <c r="C44" s="153"/>
      <c r="D44" s="6"/>
      <c r="E44" s="4">
        <v>90</v>
      </c>
      <c r="F44" s="153"/>
      <c r="G44" s="3"/>
      <c r="H44" s="2">
        <v>140</v>
      </c>
      <c r="I44" s="153"/>
      <c r="J44" s="3"/>
      <c r="K44" s="2">
        <v>190</v>
      </c>
      <c r="L44" s="153"/>
      <c r="M44" s="42"/>
      <c r="N44" s="186"/>
      <c r="O44" s="163" t="s">
        <v>62</v>
      </c>
      <c r="P44" s="60">
        <f>BERP</f>
        <v>31.519338660088092</v>
      </c>
      <c r="Q44" s="42"/>
      <c r="R44" s="42"/>
      <c r="S44" s="42"/>
      <c r="T44" s="42"/>
      <c r="U44" s="42"/>
      <c r="V44" s="42"/>
      <c r="W44" s="44"/>
      <c r="X44" s="44"/>
      <c r="Y44" s="44"/>
      <c r="Z44" s="45"/>
      <c r="AA44" s="46"/>
      <c r="AB44" s="46"/>
      <c r="AC44" s="46"/>
      <c r="AD44" s="10"/>
      <c r="AE44" s="10"/>
      <c r="AF44" s="10"/>
      <c r="AG44" s="10"/>
      <c r="AH44" s="10"/>
      <c r="AI44" s="52"/>
      <c r="AJ44" s="52"/>
      <c r="AK44" s="52"/>
      <c r="AL44" s="52"/>
      <c r="AM44" s="52"/>
      <c r="AN44" s="52"/>
      <c r="AO44" s="52"/>
      <c r="AP44" s="46"/>
      <c r="AQ44" s="10"/>
      <c r="AR44" s="10"/>
      <c r="AS44" s="46"/>
      <c r="AT44" s="46"/>
      <c r="AU44" s="46"/>
      <c r="AV44" s="46"/>
      <c r="AW44" s="46"/>
      <c r="AX44" s="46"/>
      <c r="AY44" s="46"/>
      <c r="AZ44" s="46"/>
      <c r="BA44" s="46"/>
      <c r="BB44" s="12"/>
      <c r="BC44" s="57"/>
      <c r="BD44" s="13"/>
      <c r="BE44" s="14"/>
      <c r="BF44" s="15"/>
      <c r="BG44" s="16"/>
      <c r="BH44" s="17"/>
      <c r="BI44" s="18"/>
      <c r="BJ44" s="17"/>
      <c r="BK44" s="19"/>
      <c r="BL44" s="10"/>
      <c r="BM44" s="1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</row>
    <row r="45" spans="1:112" s="43" customFormat="1" ht="21" customHeight="1" x14ac:dyDescent="0.45">
      <c r="A45" s="40"/>
      <c r="B45" s="4">
        <v>41</v>
      </c>
      <c r="C45" s="153"/>
      <c r="D45" s="6"/>
      <c r="E45" s="4">
        <v>91</v>
      </c>
      <c r="F45" s="153"/>
      <c r="G45" s="3"/>
      <c r="H45" s="2">
        <v>141</v>
      </c>
      <c r="I45" s="153"/>
      <c r="J45" s="3"/>
      <c r="K45" s="2">
        <v>191</v>
      </c>
      <c r="L45" s="153"/>
      <c r="M45" s="42"/>
      <c r="N45" s="70"/>
      <c r="O45" s="70"/>
      <c r="P45" s="70"/>
      <c r="Q45" s="42"/>
      <c r="R45" s="42"/>
      <c r="S45" s="42"/>
      <c r="T45" s="42"/>
      <c r="U45" s="42"/>
      <c r="V45" s="42"/>
      <c r="W45" s="44"/>
      <c r="X45" s="44"/>
      <c r="Y45" s="44"/>
      <c r="Z45" s="45"/>
      <c r="AA45" s="46"/>
      <c r="AB45" s="46"/>
      <c r="AC45" s="46"/>
      <c r="AD45" s="10"/>
      <c r="AE45" s="10"/>
      <c r="AF45" s="10"/>
      <c r="AG45" s="10"/>
      <c r="AH45" s="10"/>
      <c r="AI45" s="52"/>
      <c r="AJ45" s="52"/>
      <c r="AK45" s="52"/>
      <c r="AL45" s="52"/>
      <c r="AM45" s="52"/>
      <c r="AN45" s="52"/>
      <c r="AO45" s="52"/>
      <c r="AP45" s="46"/>
      <c r="AQ45" s="10"/>
      <c r="AR45" s="10"/>
      <c r="AS45" s="46"/>
      <c r="AT45" s="46"/>
      <c r="AU45" s="46"/>
      <c r="AV45" s="46"/>
      <c r="AW45" s="46"/>
      <c r="AX45" s="46"/>
      <c r="AY45" s="46"/>
      <c r="AZ45" s="46"/>
      <c r="BA45" s="46"/>
      <c r="BB45" s="12"/>
      <c r="BC45" s="57"/>
      <c r="BD45" s="13"/>
      <c r="BE45" s="14"/>
      <c r="BF45" s="15"/>
      <c r="BG45" s="16"/>
      <c r="BH45" s="17"/>
      <c r="BI45" s="18"/>
      <c r="BJ45" s="17"/>
      <c r="BK45" s="19"/>
      <c r="BL45" s="10"/>
      <c r="BM45" s="1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</row>
    <row r="46" spans="1:112" s="43" customFormat="1" ht="21" customHeight="1" x14ac:dyDescent="0.45">
      <c r="A46" s="40"/>
      <c r="B46" s="4">
        <v>42</v>
      </c>
      <c r="C46" s="153"/>
      <c r="D46" s="6"/>
      <c r="E46" s="4">
        <v>92</v>
      </c>
      <c r="F46" s="153"/>
      <c r="G46" s="3"/>
      <c r="H46" s="2">
        <v>142</v>
      </c>
      <c r="I46" s="153"/>
      <c r="J46" s="3"/>
      <c r="K46" s="2">
        <v>192</v>
      </c>
      <c r="L46" s="153"/>
      <c r="M46" s="42"/>
      <c r="N46" s="181" t="str">
        <f>IF(AB2=1,"Berechnete Leistung DPPM","Observed performance in DPPM")</f>
        <v>Observed performance in DPPM</v>
      </c>
      <c r="O46" s="182"/>
      <c r="P46" s="183"/>
      <c r="Q46" s="41"/>
      <c r="R46" s="41"/>
      <c r="S46" s="41"/>
      <c r="T46" s="41"/>
      <c r="U46" s="41"/>
      <c r="V46" s="41"/>
      <c r="W46" s="62"/>
      <c r="X46" s="62"/>
      <c r="Y46" s="62"/>
      <c r="Z46" s="45"/>
      <c r="AA46" s="46"/>
      <c r="AB46" s="46"/>
      <c r="AC46" s="46"/>
      <c r="AD46" s="10"/>
      <c r="AE46" s="10"/>
      <c r="AF46" s="10"/>
      <c r="AG46" s="10"/>
      <c r="AH46" s="10"/>
      <c r="AI46" s="52"/>
      <c r="AJ46" s="52"/>
      <c r="AK46" s="52"/>
      <c r="AL46" s="52"/>
      <c r="AM46" s="52"/>
      <c r="AN46" s="52"/>
      <c r="AO46" s="52"/>
      <c r="AP46" s="46"/>
      <c r="AQ46" s="10"/>
      <c r="AR46" s="10"/>
      <c r="AS46" s="46"/>
      <c r="AT46" s="46"/>
      <c r="AU46" s="46"/>
      <c r="AV46" s="46"/>
      <c r="AW46" s="46"/>
      <c r="AX46" s="46"/>
      <c r="AY46" s="46"/>
      <c r="AZ46" s="46"/>
      <c r="BA46" s="46"/>
      <c r="BB46" s="12"/>
      <c r="BC46" s="57"/>
      <c r="BD46" s="13"/>
      <c r="BE46" s="14"/>
      <c r="BF46" s="15"/>
      <c r="BG46" s="16"/>
      <c r="BH46" s="17"/>
      <c r="BI46" s="18"/>
      <c r="BJ46" s="17"/>
      <c r="BK46" s="19"/>
      <c r="BL46" s="10"/>
      <c r="BM46" s="1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</row>
    <row r="47" spans="1:112" s="43" customFormat="1" ht="20.65" x14ac:dyDescent="0.45">
      <c r="A47" s="40"/>
      <c r="B47" s="4">
        <v>43</v>
      </c>
      <c r="C47" s="153"/>
      <c r="D47" s="6"/>
      <c r="E47" s="4">
        <v>93</v>
      </c>
      <c r="F47" s="153"/>
      <c r="G47" s="3"/>
      <c r="H47" s="2">
        <v>143</v>
      </c>
      <c r="I47" s="153"/>
      <c r="J47" s="3"/>
      <c r="K47" s="2">
        <v>193</v>
      </c>
      <c r="L47" s="153"/>
      <c r="M47" s="42"/>
      <c r="N47" s="184" t="str">
        <f>IF(AB2=1,"Überschreitungs- 
anteil","Exceedance")</f>
        <v>Exceedance</v>
      </c>
      <c r="O47" s="163" t="s">
        <v>60</v>
      </c>
      <c r="P47" s="60">
        <f>BEOBPUGW</f>
        <v>0</v>
      </c>
      <c r="Q47" s="61"/>
      <c r="R47" s="61"/>
      <c r="S47" s="61"/>
      <c r="T47" s="61"/>
      <c r="U47" s="61"/>
      <c r="V47" s="61"/>
      <c r="W47" s="63"/>
      <c r="X47" s="63"/>
      <c r="Y47" s="63"/>
      <c r="Z47" s="45"/>
      <c r="AA47" s="46"/>
      <c r="AB47" s="46"/>
      <c r="AC47" s="46"/>
      <c r="AD47" s="10"/>
      <c r="AE47" s="10"/>
      <c r="AF47" s="10"/>
      <c r="AG47" s="10"/>
      <c r="AH47" s="10"/>
      <c r="AI47" s="52"/>
      <c r="AJ47" s="52"/>
      <c r="AK47" s="52"/>
      <c r="AL47" s="52"/>
      <c r="AM47" s="52"/>
      <c r="AN47" s="52"/>
      <c r="AO47" s="52"/>
      <c r="AP47" s="46"/>
      <c r="AQ47" s="10"/>
      <c r="AR47" s="10"/>
      <c r="AS47" s="46"/>
      <c r="AT47" s="46"/>
      <c r="AU47" s="46"/>
      <c r="AV47" s="46"/>
      <c r="AW47" s="46"/>
      <c r="AX47" s="46"/>
      <c r="AY47" s="46"/>
      <c r="AZ47" s="46"/>
      <c r="BA47" s="46"/>
      <c r="BB47" s="12"/>
      <c r="BC47" s="57"/>
      <c r="BD47" s="13"/>
      <c r="BE47" s="14"/>
      <c r="BF47" s="15"/>
      <c r="BG47" s="16"/>
      <c r="BH47" s="17"/>
      <c r="BI47" s="18"/>
      <c r="BJ47" s="17"/>
      <c r="BK47" s="19"/>
      <c r="BL47" s="10"/>
      <c r="BM47" s="1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</row>
    <row r="48" spans="1:112" s="43" customFormat="1" ht="21" x14ac:dyDescent="0.45">
      <c r="A48" s="40"/>
      <c r="B48" s="4">
        <v>44</v>
      </c>
      <c r="C48" s="153"/>
      <c r="D48" s="6"/>
      <c r="E48" s="4">
        <v>94</v>
      </c>
      <c r="F48" s="153"/>
      <c r="G48" s="3"/>
      <c r="H48" s="2">
        <v>144</v>
      </c>
      <c r="I48" s="153"/>
      <c r="J48" s="3"/>
      <c r="K48" s="2">
        <v>194</v>
      </c>
      <c r="L48" s="153"/>
      <c r="M48" s="42"/>
      <c r="N48" s="185"/>
      <c r="O48" s="163" t="s">
        <v>61</v>
      </c>
      <c r="P48" s="60">
        <f>BEOBPOGW</f>
        <v>0</v>
      </c>
      <c r="R48" s="79"/>
      <c r="S48" s="79"/>
      <c r="T48" s="79"/>
      <c r="U48" s="79"/>
      <c r="V48" s="79"/>
      <c r="W48" s="79"/>
      <c r="X48" s="79"/>
      <c r="Y48" s="79"/>
      <c r="Z48" s="45"/>
      <c r="AA48" s="46"/>
      <c r="AB48" s="46"/>
      <c r="AC48" s="46"/>
      <c r="AD48" s="10"/>
      <c r="AE48" s="10"/>
      <c r="AF48" s="10"/>
      <c r="AG48" s="10"/>
      <c r="AH48" s="10"/>
      <c r="AI48" s="52"/>
      <c r="AJ48" s="52"/>
      <c r="AK48" s="52"/>
      <c r="AL48" s="52"/>
      <c r="AM48" s="52"/>
      <c r="AN48" s="52"/>
      <c r="AO48" s="52"/>
      <c r="AP48" s="46"/>
      <c r="AQ48" s="10"/>
      <c r="AR48" s="10"/>
      <c r="AS48" s="46"/>
      <c r="AT48" s="46"/>
      <c r="AU48" s="46"/>
      <c r="AV48" s="46"/>
      <c r="AW48" s="46"/>
      <c r="AX48" s="46"/>
      <c r="AY48" s="46"/>
      <c r="AZ48" s="46"/>
      <c r="BA48" s="46"/>
      <c r="BB48" s="12"/>
      <c r="BC48" s="57"/>
      <c r="BD48" s="13"/>
      <c r="BE48" s="14"/>
      <c r="BF48" s="15"/>
      <c r="BG48" s="16"/>
      <c r="BH48" s="17"/>
      <c r="BI48" s="18"/>
      <c r="BJ48" s="17"/>
      <c r="BK48" s="19"/>
      <c r="BL48" s="10"/>
      <c r="BM48" s="1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</row>
    <row r="49" spans="1:112" s="43" customFormat="1" ht="21" x14ac:dyDescent="0.45">
      <c r="A49" s="40"/>
      <c r="B49" s="4">
        <v>45</v>
      </c>
      <c r="C49" s="153"/>
      <c r="D49" s="6"/>
      <c r="E49" s="4">
        <v>95</v>
      </c>
      <c r="F49" s="153"/>
      <c r="G49" s="3"/>
      <c r="H49" s="2">
        <v>145</v>
      </c>
      <c r="I49" s="153"/>
      <c r="J49" s="3"/>
      <c r="K49" s="2">
        <v>195</v>
      </c>
      <c r="L49" s="153"/>
      <c r="M49" s="42"/>
      <c r="N49" s="186"/>
      <c r="O49" s="163" t="s">
        <v>62</v>
      </c>
      <c r="P49" s="60">
        <f>BEOBPPM</f>
        <v>0</v>
      </c>
      <c r="Q49" s="61"/>
      <c r="R49" s="79"/>
      <c r="S49" s="79"/>
      <c r="T49" s="79"/>
      <c r="U49" s="79"/>
      <c r="V49" s="79"/>
      <c r="W49" s="79"/>
      <c r="X49" s="79"/>
      <c r="Y49" s="79"/>
      <c r="Z49" s="45"/>
      <c r="AA49" s="46"/>
      <c r="AB49" s="46"/>
      <c r="AC49" s="46"/>
      <c r="AD49" s="10"/>
      <c r="AE49" s="10"/>
      <c r="AF49" s="10"/>
      <c r="AG49" s="10"/>
      <c r="AH49" s="10"/>
      <c r="AI49" s="52"/>
      <c r="AJ49" s="52"/>
      <c r="AK49" s="52"/>
      <c r="AL49" s="52"/>
      <c r="AM49" s="52"/>
      <c r="AN49" s="52"/>
      <c r="AO49" s="52"/>
      <c r="AP49" s="46"/>
      <c r="AQ49" s="10"/>
      <c r="AR49" s="10"/>
      <c r="AS49" s="46"/>
      <c r="AT49" s="46"/>
      <c r="AU49" s="46"/>
      <c r="AV49" s="46"/>
      <c r="AW49" s="46"/>
      <c r="AX49" s="46"/>
      <c r="AY49" s="46"/>
      <c r="AZ49" s="46"/>
      <c r="BA49" s="46"/>
      <c r="BB49" s="12"/>
      <c r="BC49" s="57"/>
      <c r="BD49" s="13"/>
      <c r="BE49" s="14"/>
      <c r="BF49" s="15"/>
      <c r="BG49" s="16"/>
      <c r="BH49" s="17"/>
      <c r="BI49" s="18"/>
      <c r="BJ49" s="17"/>
      <c r="BK49" s="19"/>
      <c r="BL49" s="10"/>
      <c r="BM49" s="1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</row>
    <row r="50" spans="1:112" s="43" customFormat="1" ht="21" x14ac:dyDescent="0.45">
      <c r="A50" s="40"/>
      <c r="B50" s="4">
        <v>46</v>
      </c>
      <c r="C50" s="153"/>
      <c r="D50" s="6"/>
      <c r="E50" s="4">
        <v>96</v>
      </c>
      <c r="F50" s="153"/>
      <c r="G50" s="3"/>
      <c r="H50" s="2">
        <v>146</v>
      </c>
      <c r="I50" s="153"/>
      <c r="J50" s="3"/>
      <c r="K50" s="2">
        <v>196</v>
      </c>
      <c r="L50" s="153"/>
      <c r="M50" s="42"/>
      <c r="N50" s="79"/>
      <c r="O50" s="79"/>
      <c r="P50" s="79"/>
      <c r="Q50" s="61"/>
      <c r="R50" s="79"/>
      <c r="S50" s="79"/>
      <c r="T50" s="79"/>
      <c r="U50" s="79"/>
      <c r="V50" s="79"/>
      <c r="W50" s="79"/>
      <c r="X50" s="79"/>
      <c r="Y50" s="79"/>
      <c r="Z50" s="45"/>
      <c r="AA50" s="46"/>
      <c r="AB50" s="46"/>
      <c r="AC50" s="46"/>
      <c r="AD50" s="10"/>
      <c r="AE50" s="10"/>
      <c r="AF50" s="10"/>
      <c r="AG50" s="10"/>
      <c r="AH50" s="10"/>
      <c r="AI50" s="52"/>
      <c r="AJ50" s="52"/>
      <c r="AK50" s="52"/>
      <c r="AL50" s="52"/>
      <c r="AM50" s="52"/>
      <c r="AN50" s="52"/>
      <c r="AO50" s="52"/>
      <c r="AP50" s="46"/>
      <c r="AQ50" s="10"/>
      <c r="AR50" s="10"/>
      <c r="AS50" s="46"/>
      <c r="AT50" s="46"/>
      <c r="AU50" s="46"/>
      <c r="AV50" s="46"/>
      <c r="AW50" s="46"/>
      <c r="AX50" s="46"/>
      <c r="AY50" s="46"/>
      <c r="AZ50" s="46"/>
      <c r="BA50" s="46"/>
      <c r="BB50" s="12"/>
      <c r="BC50" s="57"/>
      <c r="BD50" s="13"/>
      <c r="BE50" s="14"/>
      <c r="BF50" s="15"/>
      <c r="BG50" s="16"/>
      <c r="BH50" s="17"/>
      <c r="BI50" s="18"/>
      <c r="BJ50" s="17"/>
      <c r="BK50" s="19"/>
      <c r="BL50" s="10"/>
      <c r="BM50" s="1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</row>
    <row r="51" spans="1:112" s="43" customFormat="1" ht="21" x14ac:dyDescent="0.45">
      <c r="A51" s="40"/>
      <c r="B51" s="4">
        <v>47</v>
      </c>
      <c r="C51" s="153"/>
      <c r="D51" s="6"/>
      <c r="E51" s="4">
        <v>97</v>
      </c>
      <c r="F51" s="153"/>
      <c r="G51" s="3"/>
      <c r="H51" s="2">
        <v>147</v>
      </c>
      <c r="I51" s="153"/>
      <c r="J51" s="3"/>
      <c r="K51" s="2">
        <v>197</v>
      </c>
      <c r="L51" s="153"/>
      <c r="M51" s="42"/>
      <c r="N51" s="79"/>
      <c r="O51" s="79"/>
      <c r="P51" s="79"/>
      <c r="Q51" s="61"/>
      <c r="R51" s="79"/>
      <c r="S51" s="79"/>
      <c r="T51" s="79"/>
      <c r="U51" s="79"/>
      <c r="V51" s="79"/>
      <c r="W51" s="79"/>
      <c r="X51" s="79"/>
      <c r="Y51" s="79"/>
      <c r="Z51" s="45"/>
      <c r="AA51" s="46"/>
      <c r="AB51" s="46"/>
      <c r="AC51" s="46"/>
      <c r="AD51" s="10"/>
      <c r="AE51" s="10"/>
      <c r="AF51" s="10"/>
      <c r="AG51" s="10"/>
      <c r="AH51" s="10"/>
      <c r="AI51" s="52"/>
      <c r="AJ51" s="52"/>
      <c r="AK51" s="52"/>
      <c r="AL51" s="52"/>
      <c r="AM51" s="52"/>
      <c r="AN51" s="52"/>
      <c r="AO51" s="52"/>
      <c r="AP51" s="46"/>
      <c r="AQ51" s="10"/>
      <c r="AR51" s="10"/>
      <c r="AS51" s="46"/>
      <c r="AT51" s="46"/>
      <c r="AU51" s="46"/>
      <c r="AV51" s="46"/>
      <c r="AW51" s="46"/>
      <c r="AX51" s="46"/>
      <c r="AY51" s="46"/>
      <c r="AZ51" s="46"/>
      <c r="BA51" s="46"/>
      <c r="BB51" s="12"/>
      <c r="BC51" s="57"/>
      <c r="BD51" s="13"/>
      <c r="BE51" s="14"/>
      <c r="BF51" s="15"/>
      <c r="BG51" s="16"/>
      <c r="BH51" s="17"/>
      <c r="BI51" s="18"/>
      <c r="BJ51" s="17"/>
      <c r="BK51" s="19"/>
      <c r="BL51" s="10"/>
      <c r="BM51" s="1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</row>
    <row r="52" spans="1:112" s="43" customFormat="1" ht="21" x14ac:dyDescent="0.45">
      <c r="A52" s="40"/>
      <c r="B52" s="4">
        <v>48</v>
      </c>
      <c r="C52" s="153"/>
      <c r="D52" s="6"/>
      <c r="E52" s="4">
        <v>98</v>
      </c>
      <c r="F52" s="153"/>
      <c r="G52" s="3"/>
      <c r="H52" s="2">
        <v>148</v>
      </c>
      <c r="I52" s="153"/>
      <c r="J52" s="3"/>
      <c r="K52" s="2">
        <v>198</v>
      </c>
      <c r="L52" s="153"/>
      <c r="M52" s="42"/>
      <c r="N52" s="79"/>
      <c r="O52" s="79"/>
      <c r="P52" s="79"/>
      <c r="R52" s="79"/>
      <c r="S52" s="79"/>
      <c r="T52" s="79"/>
      <c r="U52" s="79"/>
      <c r="V52" s="79"/>
      <c r="W52" s="79"/>
      <c r="X52" s="79"/>
      <c r="Y52" s="79"/>
      <c r="Z52" s="45"/>
      <c r="AA52" s="46"/>
      <c r="AB52" s="46"/>
      <c r="AC52" s="46"/>
      <c r="AD52" s="10"/>
      <c r="AE52" s="10"/>
      <c r="AF52" s="10"/>
      <c r="AG52" s="10"/>
      <c r="AH52" s="10"/>
      <c r="AI52" s="52"/>
      <c r="AJ52" s="52"/>
      <c r="AK52" s="52"/>
      <c r="AL52" s="52"/>
      <c r="AM52" s="52"/>
      <c r="AN52" s="52"/>
      <c r="AO52" s="52"/>
      <c r="AP52" s="46"/>
      <c r="AQ52" s="10"/>
      <c r="AR52" s="10"/>
      <c r="AS52" s="46"/>
      <c r="AT52" s="46"/>
      <c r="AU52" s="46"/>
      <c r="AV52" s="46"/>
      <c r="AW52" s="46"/>
      <c r="AX52" s="46"/>
      <c r="AY52" s="46"/>
      <c r="AZ52" s="46"/>
      <c r="BA52" s="46"/>
      <c r="BB52" s="12"/>
      <c r="BC52" s="57"/>
      <c r="BD52" s="13"/>
      <c r="BE52" s="14"/>
      <c r="BF52" s="15"/>
      <c r="BG52" s="16"/>
      <c r="BH52" s="17"/>
      <c r="BI52" s="18"/>
      <c r="BJ52" s="17"/>
      <c r="BK52" s="19"/>
      <c r="BL52" s="10"/>
      <c r="BM52" s="1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</row>
    <row r="53" spans="1:112" s="43" customFormat="1" ht="21" x14ac:dyDescent="0.45">
      <c r="A53" s="40"/>
      <c r="B53" s="4">
        <v>49</v>
      </c>
      <c r="C53" s="153"/>
      <c r="D53" s="6"/>
      <c r="E53" s="4">
        <v>99</v>
      </c>
      <c r="F53" s="153"/>
      <c r="G53" s="3"/>
      <c r="H53" s="2">
        <v>149</v>
      </c>
      <c r="I53" s="153"/>
      <c r="J53" s="3"/>
      <c r="K53" s="2">
        <v>199</v>
      </c>
      <c r="L53" s="153"/>
      <c r="M53" s="42"/>
      <c r="N53" s="79"/>
      <c r="O53" s="79"/>
      <c r="P53" s="79"/>
      <c r="Q53" s="61"/>
      <c r="R53" s="79"/>
      <c r="S53" s="79"/>
      <c r="T53" s="79"/>
      <c r="U53" s="79"/>
      <c r="V53" s="79"/>
      <c r="W53" s="79"/>
      <c r="X53" s="79"/>
      <c r="Y53" s="79"/>
      <c r="Z53" s="45"/>
      <c r="AA53" s="46"/>
      <c r="AB53" s="46"/>
      <c r="AC53" s="46"/>
      <c r="AD53" s="10"/>
      <c r="AE53" s="10"/>
      <c r="AF53" s="10"/>
      <c r="AG53" s="10"/>
      <c r="AH53" s="10"/>
      <c r="AI53" s="52"/>
      <c r="AJ53" s="52"/>
      <c r="AK53" s="52"/>
      <c r="AL53" s="52"/>
      <c r="AM53" s="52"/>
      <c r="AN53" s="52"/>
      <c r="AO53" s="52"/>
      <c r="AP53" s="46"/>
      <c r="AQ53" s="10"/>
      <c r="AR53" s="10"/>
      <c r="AS53" s="46"/>
      <c r="AT53" s="46"/>
      <c r="AU53" s="46"/>
      <c r="AV53" s="46"/>
      <c r="AW53" s="46"/>
      <c r="AX53" s="46"/>
      <c r="AY53" s="46"/>
      <c r="AZ53" s="46"/>
      <c r="BA53" s="46"/>
      <c r="BB53" s="12"/>
      <c r="BC53" s="57"/>
      <c r="BD53" s="13"/>
      <c r="BE53" s="14"/>
      <c r="BF53" s="15"/>
      <c r="BG53" s="16"/>
      <c r="BH53" s="17"/>
      <c r="BI53" s="18"/>
      <c r="BJ53" s="17"/>
      <c r="BK53" s="19"/>
      <c r="BL53" s="10"/>
      <c r="BM53" s="1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</row>
    <row r="54" spans="1:112" s="43" customFormat="1" ht="21" x14ac:dyDescent="0.45">
      <c r="A54" s="40"/>
      <c r="B54" s="4">
        <v>50</v>
      </c>
      <c r="C54" s="153"/>
      <c r="D54" s="6"/>
      <c r="E54" s="4">
        <v>100</v>
      </c>
      <c r="F54" s="153"/>
      <c r="G54" s="3"/>
      <c r="H54" s="2">
        <v>150</v>
      </c>
      <c r="I54" s="153"/>
      <c r="J54" s="3"/>
      <c r="K54" s="2">
        <v>200</v>
      </c>
      <c r="L54" s="153"/>
      <c r="M54" s="42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45"/>
      <c r="AA54" s="46"/>
      <c r="AB54" s="46"/>
      <c r="AC54" s="46"/>
      <c r="AD54" s="10"/>
      <c r="AE54" s="10"/>
      <c r="AF54" s="10"/>
      <c r="AG54" s="10"/>
      <c r="AH54" s="10"/>
      <c r="AI54" s="52"/>
      <c r="AJ54" s="52"/>
      <c r="AK54" s="52"/>
      <c r="AL54" s="52"/>
      <c r="AM54" s="52"/>
      <c r="AN54" s="52"/>
      <c r="AO54" s="52"/>
      <c r="AP54" s="46"/>
      <c r="AQ54" s="10"/>
      <c r="AR54" s="10"/>
      <c r="AS54" s="46"/>
      <c r="AT54" s="46"/>
      <c r="AU54" s="46"/>
      <c r="AV54" s="46"/>
      <c r="AW54" s="46"/>
      <c r="AX54" s="46"/>
      <c r="AY54" s="46"/>
      <c r="AZ54" s="46"/>
      <c r="BA54" s="46"/>
      <c r="BB54" s="12"/>
      <c r="BC54" s="57"/>
      <c r="BD54" s="13"/>
      <c r="BE54" s="14"/>
      <c r="BF54" s="15"/>
      <c r="BG54" s="16"/>
      <c r="BH54" s="17"/>
      <c r="BI54" s="18"/>
      <c r="BJ54" s="17"/>
      <c r="BK54" s="19"/>
      <c r="BL54" s="10"/>
      <c r="BM54" s="1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</row>
    <row r="55" spans="1:112" s="32" customFormat="1" ht="18.399999999999999" thickBot="1" x14ac:dyDescent="0.6">
      <c r="A55" s="64"/>
      <c r="B55" s="65"/>
      <c r="C55" s="66"/>
      <c r="D55" s="65"/>
      <c r="E55" s="65"/>
      <c r="F55" s="66"/>
      <c r="G55" s="65"/>
      <c r="H55" s="65"/>
      <c r="I55" s="66"/>
      <c r="J55" s="65"/>
      <c r="K55" s="65"/>
      <c r="L55" s="66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7"/>
      <c r="AA55" s="31"/>
      <c r="AB55" s="31"/>
      <c r="AC55" s="31"/>
      <c r="AD55" s="8"/>
      <c r="AE55" s="8"/>
      <c r="AF55" s="8"/>
      <c r="AG55" s="8"/>
      <c r="AH55" s="8"/>
      <c r="AI55" s="68"/>
      <c r="AJ55" s="68"/>
      <c r="AK55" s="68"/>
      <c r="AL55" s="68"/>
      <c r="AM55" s="68"/>
      <c r="AN55" s="68"/>
      <c r="AO55" s="68"/>
      <c r="AP55" s="31"/>
      <c r="AQ55" s="8"/>
      <c r="AR55" s="8"/>
      <c r="AS55" s="31"/>
      <c r="AT55" s="31"/>
      <c r="AU55" s="31"/>
      <c r="AV55" s="31"/>
      <c r="AW55" s="31"/>
      <c r="AX55" s="31"/>
      <c r="AY55" s="31"/>
      <c r="AZ55" s="31"/>
      <c r="BA55" s="31"/>
      <c r="BB55" s="12"/>
      <c r="BC55" s="20"/>
      <c r="BD55" s="13"/>
      <c r="BE55" s="14"/>
      <c r="BF55" s="15"/>
      <c r="BG55" s="16"/>
      <c r="BH55" s="17"/>
      <c r="BI55" s="18"/>
      <c r="BJ55" s="17"/>
      <c r="BK55" s="19"/>
      <c r="BL55" s="8"/>
      <c r="BM55" s="21"/>
    </row>
    <row r="56" spans="1:112" s="31" customFormat="1" x14ac:dyDescent="0.55000000000000004">
      <c r="A56" s="69"/>
      <c r="B56" s="8"/>
      <c r="C56" s="9"/>
      <c r="D56" s="8"/>
      <c r="E56" s="8"/>
      <c r="F56" s="9"/>
      <c r="G56" s="8"/>
      <c r="H56" s="8"/>
      <c r="I56" s="9"/>
      <c r="J56" s="8"/>
      <c r="K56" s="8"/>
      <c r="L56" s="9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D56" s="8"/>
      <c r="AE56" s="8"/>
      <c r="AF56" s="8"/>
      <c r="AG56" s="8"/>
      <c r="AH56" s="8"/>
      <c r="AI56" s="68"/>
      <c r="AJ56" s="68"/>
      <c r="AK56" s="68"/>
      <c r="AL56" s="68"/>
      <c r="AM56" s="68"/>
      <c r="AN56" s="68"/>
      <c r="AO56" s="68"/>
      <c r="AQ56" s="8"/>
      <c r="AR56" s="8"/>
      <c r="BB56" s="12"/>
      <c r="BC56" s="20"/>
      <c r="BD56" s="13"/>
      <c r="BE56" s="14"/>
      <c r="BF56" s="15"/>
      <c r="BG56" s="16"/>
      <c r="BH56" s="17"/>
      <c r="BI56" s="18"/>
      <c r="BJ56" s="17"/>
      <c r="BK56" s="19"/>
      <c r="BL56" s="8"/>
      <c r="BM56" s="21"/>
    </row>
    <row r="57" spans="1:112" s="31" customFormat="1" x14ac:dyDescent="0.55000000000000004">
      <c r="A57" s="21"/>
      <c r="B57" s="21"/>
      <c r="C57" s="22"/>
      <c r="D57" s="21"/>
      <c r="E57" s="21"/>
      <c r="F57" s="24"/>
      <c r="G57" s="25"/>
      <c r="H57" s="25"/>
      <c r="I57" s="24"/>
      <c r="J57" s="25"/>
      <c r="K57" s="25"/>
      <c r="L57" s="21"/>
      <c r="M57" s="21"/>
      <c r="N57" s="21"/>
      <c r="P57" s="8"/>
      <c r="Q57" s="8"/>
      <c r="R57" s="8"/>
      <c r="S57" s="8"/>
      <c r="T57" s="8"/>
      <c r="U57" s="68"/>
      <c r="V57" s="68"/>
      <c r="W57" s="68"/>
      <c r="X57" s="68"/>
      <c r="Y57" s="68"/>
      <c r="Z57" s="68"/>
      <c r="AA57" s="68"/>
      <c r="AC57" s="8"/>
      <c r="AD57" s="8"/>
      <c r="AN57" s="12"/>
      <c r="AO57" s="20"/>
      <c r="AP57" s="13"/>
      <c r="AQ57" s="14"/>
      <c r="AR57" s="15"/>
      <c r="AS57" s="16"/>
      <c r="AT57" s="17"/>
      <c r="AU57" s="18"/>
      <c r="AV57" s="17"/>
      <c r="AW57" s="19"/>
      <c r="AX57" s="8"/>
      <c r="AY57" s="21"/>
    </row>
    <row r="58" spans="1:112" s="31" customFormat="1" x14ac:dyDescent="0.55000000000000004">
      <c r="A58" s="21"/>
      <c r="B58" s="21"/>
      <c r="C58" s="22"/>
      <c r="D58" s="21"/>
      <c r="E58" s="21"/>
      <c r="F58" s="24"/>
      <c r="G58" s="25"/>
      <c r="H58" s="25"/>
      <c r="I58" s="24"/>
      <c r="J58" s="25"/>
      <c r="K58" s="25"/>
      <c r="L58" s="21"/>
      <c r="M58" s="21"/>
      <c r="N58" s="21"/>
      <c r="P58" s="8"/>
      <c r="Q58" s="8"/>
      <c r="R58" s="8"/>
      <c r="S58" s="8"/>
      <c r="T58" s="8"/>
      <c r="U58" s="68"/>
      <c r="V58" s="68"/>
      <c r="W58" s="68"/>
      <c r="X58" s="68"/>
      <c r="Y58" s="68"/>
      <c r="Z58" s="68"/>
      <c r="AA58" s="68"/>
      <c r="AC58" s="8"/>
      <c r="AD58" s="8"/>
      <c r="AN58" s="12"/>
      <c r="AO58" s="20"/>
      <c r="AP58" s="13"/>
      <c r="AQ58" s="14"/>
      <c r="AR58" s="15"/>
      <c r="AS58" s="16"/>
      <c r="AT58" s="17"/>
      <c r="AU58" s="18"/>
      <c r="AV58" s="17"/>
      <c r="AW58" s="19"/>
      <c r="AX58" s="8"/>
      <c r="AY58" s="21"/>
    </row>
    <row r="59" spans="1:112" s="31" customFormat="1" x14ac:dyDescent="0.55000000000000004">
      <c r="A59" s="21"/>
      <c r="B59" s="21"/>
      <c r="C59" s="22"/>
      <c r="D59" s="21"/>
      <c r="E59" s="25"/>
      <c r="F59" s="24"/>
      <c r="G59" s="25"/>
      <c r="H59" s="25"/>
      <c r="I59" s="24"/>
      <c r="J59" s="25"/>
      <c r="K59" s="25"/>
      <c r="L59" s="21"/>
      <c r="M59" s="21"/>
      <c r="N59" s="21"/>
      <c r="P59" s="8"/>
      <c r="Q59" s="8"/>
      <c r="R59" s="8"/>
      <c r="S59" s="8"/>
      <c r="T59" s="8"/>
      <c r="U59" s="68"/>
      <c r="V59" s="68"/>
      <c r="W59" s="68"/>
      <c r="X59" s="68"/>
      <c r="Y59" s="68"/>
      <c r="Z59" s="68"/>
      <c r="AA59" s="68"/>
      <c r="AC59" s="8"/>
      <c r="AD59" s="8"/>
      <c r="AN59" s="12"/>
      <c r="AO59" s="20"/>
      <c r="AP59" s="13"/>
      <c r="AQ59" s="14"/>
      <c r="AR59" s="15"/>
      <c r="AS59" s="16"/>
      <c r="AT59" s="17"/>
      <c r="AU59" s="18"/>
      <c r="AV59" s="17"/>
      <c r="AW59" s="19"/>
      <c r="AX59" s="8"/>
      <c r="AY59" s="21"/>
    </row>
    <row r="60" spans="1:112" s="31" customFormat="1" ht="21" customHeight="1" x14ac:dyDescent="0.55000000000000004">
      <c r="A60" s="21"/>
      <c r="B60" s="21"/>
      <c r="C60" s="22"/>
      <c r="D60" s="21"/>
      <c r="E60" s="21"/>
      <c r="F60" s="22"/>
      <c r="G60" s="21"/>
      <c r="H60" s="21"/>
      <c r="I60" s="22"/>
      <c r="J60" s="21"/>
      <c r="K60" s="21"/>
      <c r="L60" s="21"/>
      <c r="M60" s="21"/>
      <c r="N60" s="21"/>
      <c r="P60" s="8"/>
      <c r="Q60" s="8"/>
      <c r="R60" s="8"/>
      <c r="S60" s="8"/>
      <c r="T60" s="8"/>
      <c r="U60" s="68"/>
      <c r="V60" s="68"/>
      <c r="W60" s="68"/>
      <c r="X60" s="68"/>
      <c r="Y60" s="68"/>
      <c r="Z60" s="68"/>
      <c r="AA60" s="68"/>
      <c r="AC60" s="8"/>
      <c r="AD60" s="8"/>
      <c r="AN60" s="12"/>
      <c r="AO60" s="20"/>
      <c r="AP60" s="13"/>
      <c r="AQ60" s="14"/>
      <c r="AR60" s="15"/>
      <c r="AS60" s="16"/>
      <c r="AT60" s="17"/>
      <c r="AU60" s="18"/>
      <c r="AV60" s="17"/>
      <c r="AW60" s="19"/>
      <c r="AX60" s="8"/>
      <c r="AY60" s="21"/>
    </row>
    <row r="61" spans="1:112" s="31" customFormat="1" x14ac:dyDescent="0.55000000000000004">
      <c r="A61" s="21"/>
      <c r="B61" s="21"/>
      <c r="C61" s="22"/>
      <c r="D61" s="21"/>
      <c r="E61" s="21"/>
      <c r="F61" s="22"/>
      <c r="G61" s="21"/>
      <c r="H61" s="21"/>
      <c r="I61" s="22"/>
      <c r="J61" s="21"/>
      <c r="K61" s="21"/>
      <c r="L61" s="21"/>
      <c r="M61" s="21"/>
      <c r="N61" s="21"/>
      <c r="P61" s="8"/>
      <c r="Q61" s="8"/>
      <c r="R61" s="8"/>
      <c r="S61" s="8"/>
      <c r="T61" s="8"/>
      <c r="U61" s="68"/>
      <c r="V61" s="68"/>
      <c r="W61" s="68"/>
      <c r="X61" s="68"/>
      <c r="Y61" s="68"/>
      <c r="Z61" s="68"/>
      <c r="AA61" s="68"/>
      <c r="AC61" s="8"/>
      <c r="AD61" s="8"/>
      <c r="AN61" s="12"/>
      <c r="AO61" s="20"/>
      <c r="AP61" s="13"/>
      <c r="AQ61" s="14"/>
      <c r="AR61" s="15"/>
      <c r="AS61" s="16"/>
      <c r="AT61" s="17"/>
      <c r="AU61" s="18"/>
      <c r="AV61" s="17"/>
      <c r="AW61" s="19"/>
      <c r="AX61" s="8"/>
      <c r="AY61" s="21"/>
    </row>
    <row r="62" spans="1:112" s="31" customFormat="1" x14ac:dyDescent="0.55000000000000004">
      <c r="A62" s="21"/>
      <c r="B62" s="21"/>
      <c r="C62" s="22"/>
      <c r="D62" s="21"/>
      <c r="E62" s="21"/>
      <c r="F62" s="22"/>
      <c r="G62" s="21"/>
      <c r="H62" s="21"/>
      <c r="I62" s="22"/>
      <c r="J62" s="21"/>
      <c r="K62" s="21"/>
      <c r="L62" s="8"/>
      <c r="M62" s="8"/>
      <c r="N62" s="8"/>
      <c r="O62" s="8"/>
      <c r="P62" s="68"/>
      <c r="Q62" s="68"/>
      <c r="R62" s="68"/>
      <c r="S62" s="68"/>
      <c r="T62" s="68"/>
      <c r="U62" s="68"/>
      <c r="V62" s="68"/>
      <c r="X62" s="8"/>
      <c r="Y62" s="8"/>
      <c r="AI62" s="12"/>
      <c r="AJ62" s="20"/>
      <c r="AK62" s="13"/>
      <c r="AL62" s="14"/>
      <c r="AM62" s="15"/>
      <c r="AN62" s="16"/>
      <c r="AO62" s="17"/>
      <c r="AP62" s="18"/>
      <c r="AQ62" s="17"/>
      <c r="AR62" s="19"/>
      <c r="AS62" s="8"/>
      <c r="AT62" s="21"/>
    </row>
    <row r="63" spans="1:112" s="31" customFormat="1" ht="21" customHeight="1" x14ac:dyDescent="0.55000000000000004">
      <c r="A63" s="21"/>
      <c r="B63" s="21"/>
      <c r="C63" s="22"/>
      <c r="D63" s="21"/>
      <c r="E63" s="21"/>
      <c r="F63" s="22"/>
      <c r="G63" s="21"/>
      <c r="H63" s="21"/>
      <c r="I63" s="22"/>
      <c r="J63" s="21"/>
      <c r="K63" s="21"/>
      <c r="L63" s="8"/>
      <c r="M63" s="8"/>
      <c r="N63" s="8"/>
      <c r="O63" s="8"/>
      <c r="P63" s="68"/>
      <c r="Q63" s="68"/>
      <c r="R63" s="68"/>
      <c r="S63" s="68"/>
      <c r="T63" s="68"/>
      <c r="U63" s="68"/>
      <c r="V63" s="68"/>
      <c r="X63" s="8"/>
      <c r="Y63" s="8"/>
      <c r="AI63" s="12"/>
      <c r="AJ63" s="20"/>
      <c r="AK63" s="13"/>
      <c r="AL63" s="14"/>
      <c r="AM63" s="15"/>
      <c r="AN63" s="16"/>
      <c r="AO63" s="17"/>
      <c r="AP63" s="18"/>
      <c r="AQ63" s="17"/>
      <c r="AR63" s="19"/>
      <c r="AS63" s="8"/>
      <c r="AT63" s="21"/>
    </row>
    <row r="64" spans="1:112" s="31" customFormat="1" x14ac:dyDescent="0.55000000000000004">
      <c r="A64" s="21"/>
      <c r="B64" s="21"/>
      <c r="C64" s="22"/>
      <c r="D64" s="21"/>
      <c r="E64" s="21"/>
      <c r="F64" s="22"/>
      <c r="G64" s="21"/>
      <c r="H64" s="21"/>
      <c r="I64" s="22"/>
      <c r="J64" s="21"/>
      <c r="K64" s="21"/>
      <c r="L64" s="8"/>
      <c r="M64" s="8"/>
      <c r="N64" s="8"/>
      <c r="O64" s="8"/>
      <c r="P64" s="68"/>
      <c r="Q64" s="68"/>
      <c r="R64" s="68"/>
      <c r="S64" s="68"/>
      <c r="T64" s="68"/>
      <c r="U64" s="68"/>
      <c r="V64" s="68"/>
      <c r="X64" s="8"/>
      <c r="Y64" s="8"/>
      <c r="AI64" s="12"/>
      <c r="AJ64" s="20"/>
      <c r="AK64" s="13"/>
      <c r="AL64" s="14"/>
      <c r="AM64" s="15"/>
      <c r="AN64" s="16"/>
      <c r="AO64" s="17"/>
      <c r="AP64" s="18"/>
      <c r="AQ64" s="17"/>
      <c r="AR64" s="19"/>
      <c r="AS64" s="8"/>
      <c r="AT64" s="21"/>
    </row>
    <row r="65" spans="1:65" s="31" customFormat="1" ht="21" customHeight="1" x14ac:dyDescent="0.55000000000000004">
      <c r="A65" s="21"/>
      <c r="B65" s="21"/>
      <c r="C65" s="22"/>
      <c r="D65" s="21"/>
      <c r="E65" s="21"/>
      <c r="F65" s="22"/>
      <c r="G65" s="21"/>
      <c r="H65" s="21"/>
      <c r="I65" s="22"/>
      <c r="J65" s="21"/>
      <c r="K65" s="21"/>
      <c r="L65" s="8"/>
      <c r="M65" s="8"/>
      <c r="N65" s="8"/>
      <c r="O65" s="8"/>
      <c r="P65" s="68"/>
      <c r="Q65" s="68"/>
      <c r="R65" s="68"/>
      <c r="S65" s="68"/>
      <c r="T65" s="68"/>
      <c r="U65" s="68"/>
      <c r="V65" s="68"/>
      <c r="X65" s="8"/>
      <c r="Y65" s="8"/>
      <c r="AI65" s="12"/>
      <c r="AJ65" s="20"/>
      <c r="AK65" s="13"/>
      <c r="AL65" s="14"/>
      <c r="AM65" s="15"/>
      <c r="AN65" s="16"/>
      <c r="AO65" s="17"/>
      <c r="AP65" s="18"/>
      <c r="AQ65" s="17"/>
      <c r="AR65" s="19"/>
      <c r="AS65" s="8"/>
      <c r="AT65" s="21"/>
    </row>
    <row r="66" spans="1:65" s="31" customFormat="1" x14ac:dyDescent="0.55000000000000004">
      <c r="A66" s="21"/>
      <c r="B66" s="21"/>
      <c r="C66" s="22"/>
      <c r="D66" s="21"/>
      <c r="E66" s="21"/>
      <c r="F66" s="22"/>
      <c r="G66" s="21"/>
      <c r="H66" s="21"/>
      <c r="I66" s="22"/>
      <c r="J66" s="21"/>
      <c r="K66" s="21"/>
      <c r="L66" s="8"/>
      <c r="M66" s="8"/>
      <c r="N66" s="8"/>
      <c r="O66" s="8"/>
      <c r="P66" s="68"/>
      <c r="Q66" s="68"/>
      <c r="R66" s="68"/>
      <c r="S66" s="68"/>
      <c r="T66" s="68"/>
      <c r="U66" s="68"/>
      <c r="V66" s="68"/>
      <c r="X66" s="8"/>
      <c r="Y66" s="8"/>
      <c r="AI66" s="12"/>
      <c r="AJ66" s="20"/>
      <c r="AK66" s="13"/>
      <c r="AL66" s="14"/>
      <c r="AM66" s="15"/>
      <c r="AN66" s="16"/>
      <c r="AO66" s="17"/>
      <c r="AP66" s="18"/>
      <c r="AQ66" s="17"/>
      <c r="AR66" s="19"/>
      <c r="AS66" s="8"/>
      <c r="AT66" s="21"/>
    </row>
    <row r="67" spans="1:65" s="31" customFormat="1" x14ac:dyDescent="0.55000000000000004">
      <c r="A67" s="21"/>
      <c r="B67" s="21"/>
      <c r="C67" s="22"/>
      <c r="D67" s="21"/>
      <c r="E67" s="21"/>
      <c r="F67" s="22"/>
      <c r="G67" s="21"/>
      <c r="H67" s="21"/>
      <c r="I67" s="22"/>
      <c r="J67" s="21"/>
      <c r="K67" s="21"/>
      <c r="L67" s="8"/>
      <c r="M67" s="8"/>
      <c r="N67" s="8"/>
      <c r="O67" s="8"/>
      <c r="P67" s="68"/>
      <c r="Q67" s="68"/>
      <c r="R67" s="68"/>
      <c r="S67" s="68"/>
      <c r="T67" s="68"/>
      <c r="U67" s="68"/>
      <c r="V67" s="68"/>
      <c r="X67" s="8"/>
      <c r="Y67" s="8"/>
      <c r="AI67" s="12"/>
      <c r="AJ67" s="20"/>
      <c r="AK67" s="13"/>
      <c r="AL67" s="14"/>
      <c r="AM67" s="15"/>
      <c r="AN67" s="16"/>
      <c r="AO67" s="17"/>
      <c r="AP67" s="18"/>
      <c r="AQ67" s="17"/>
      <c r="AR67" s="19"/>
      <c r="AS67" s="8"/>
      <c r="AT67" s="21"/>
    </row>
    <row r="68" spans="1:65" s="31" customFormat="1" ht="21" customHeight="1" x14ac:dyDescent="0.55000000000000004">
      <c r="A68" s="21"/>
      <c r="B68" s="21"/>
      <c r="C68" s="22"/>
      <c r="D68" s="21"/>
      <c r="E68" s="21"/>
      <c r="F68" s="22"/>
      <c r="G68" s="21"/>
      <c r="H68" s="21"/>
      <c r="I68" s="22"/>
      <c r="J68" s="21"/>
      <c r="K68" s="21"/>
      <c r="L68" s="8"/>
      <c r="M68" s="8"/>
      <c r="N68" s="8"/>
      <c r="O68" s="8"/>
      <c r="P68" s="68"/>
      <c r="Q68" s="68"/>
      <c r="R68" s="68"/>
      <c r="S68" s="68"/>
      <c r="T68" s="68"/>
      <c r="U68" s="68"/>
      <c r="V68" s="68"/>
      <c r="X68" s="8"/>
      <c r="Y68" s="8"/>
      <c r="AI68" s="12"/>
      <c r="AJ68" s="20"/>
      <c r="AK68" s="13"/>
      <c r="AL68" s="14"/>
      <c r="AM68" s="15"/>
      <c r="AN68" s="16"/>
      <c r="AO68" s="17"/>
      <c r="AP68" s="18"/>
      <c r="AQ68" s="17"/>
      <c r="AR68" s="19"/>
      <c r="AS68" s="8"/>
      <c r="AT68" s="21"/>
    </row>
    <row r="69" spans="1:65" s="31" customFormat="1" x14ac:dyDescent="0.55000000000000004">
      <c r="A69" s="21"/>
      <c r="B69" s="21"/>
      <c r="C69" s="22"/>
      <c r="D69" s="21"/>
      <c r="E69" s="21"/>
      <c r="F69" s="22"/>
      <c r="G69" s="21"/>
      <c r="H69" s="21"/>
      <c r="I69" s="22"/>
      <c r="J69" s="21"/>
      <c r="K69" s="21"/>
      <c r="L69" s="8"/>
      <c r="M69" s="8"/>
      <c r="N69" s="8"/>
      <c r="O69" s="8"/>
      <c r="P69" s="68"/>
      <c r="Q69" s="68"/>
      <c r="R69" s="68"/>
      <c r="S69" s="68"/>
      <c r="T69" s="68"/>
      <c r="U69" s="68"/>
      <c r="V69" s="68"/>
      <c r="X69" s="8"/>
      <c r="Y69" s="8"/>
      <c r="AI69" s="12"/>
      <c r="AJ69" s="20"/>
      <c r="AK69" s="13"/>
      <c r="AL69" s="14"/>
      <c r="AM69" s="15"/>
      <c r="AN69" s="16"/>
      <c r="AO69" s="17"/>
      <c r="AP69" s="18"/>
      <c r="AQ69" s="17"/>
      <c r="AR69" s="19"/>
      <c r="AS69" s="8"/>
      <c r="AT69" s="21"/>
    </row>
    <row r="70" spans="1:65" s="31" customFormat="1" x14ac:dyDescent="0.55000000000000004">
      <c r="A70" s="21"/>
      <c r="B70" s="21"/>
      <c r="C70" s="22"/>
      <c r="D70" s="21"/>
      <c r="E70" s="21"/>
      <c r="F70" s="22"/>
      <c r="G70" s="21"/>
      <c r="H70" s="21"/>
      <c r="I70" s="22"/>
      <c r="J70" s="21"/>
      <c r="K70" s="21"/>
      <c r="L70" s="22"/>
      <c r="M70" s="21"/>
      <c r="N70" s="14"/>
      <c r="O70" s="15"/>
      <c r="P70" s="16"/>
      <c r="Q70" s="17"/>
      <c r="R70" s="18"/>
      <c r="S70" s="17"/>
      <c r="T70" s="19"/>
      <c r="U70" s="21"/>
      <c r="V70" s="21"/>
      <c r="W70" s="21"/>
      <c r="Y70" s="8"/>
      <c r="Z70" s="8"/>
      <c r="AA70" s="8"/>
      <c r="AB70" s="8"/>
      <c r="AC70" s="8"/>
      <c r="AD70" s="68"/>
      <c r="AE70" s="68"/>
      <c r="AF70" s="68"/>
      <c r="AG70" s="68"/>
      <c r="AH70" s="68"/>
      <c r="AI70" s="68"/>
      <c r="AJ70" s="68"/>
      <c r="AL70" s="8"/>
      <c r="AM70" s="8"/>
      <c r="AW70" s="12"/>
      <c r="AX70" s="20"/>
      <c r="AY70" s="13"/>
      <c r="AZ70" s="14"/>
      <c r="BA70" s="15"/>
      <c r="BB70" s="16"/>
      <c r="BC70" s="17"/>
      <c r="BD70" s="18"/>
      <c r="BE70" s="17"/>
      <c r="BF70" s="19"/>
      <c r="BG70" s="8"/>
      <c r="BH70" s="21"/>
    </row>
    <row r="71" spans="1:65" s="31" customFormat="1" x14ac:dyDescent="0.55000000000000004">
      <c r="A71" s="21"/>
      <c r="B71" s="21"/>
      <c r="C71" s="22"/>
      <c r="D71" s="21"/>
      <c r="E71" s="21"/>
      <c r="F71" s="22"/>
      <c r="G71" s="21"/>
      <c r="H71" s="21"/>
      <c r="I71" s="22"/>
      <c r="J71" s="21"/>
      <c r="K71" s="21"/>
      <c r="L71" s="22"/>
      <c r="M71" s="21"/>
      <c r="N71" s="14"/>
      <c r="O71" s="15"/>
      <c r="P71" s="16"/>
      <c r="Q71" s="17"/>
      <c r="R71" s="18"/>
      <c r="S71" s="17"/>
      <c r="T71" s="19"/>
      <c r="U71" s="21"/>
      <c r="V71" s="21"/>
      <c r="W71" s="21"/>
      <c r="Y71" s="8"/>
      <c r="Z71" s="8"/>
      <c r="AA71" s="8"/>
      <c r="AB71" s="8"/>
      <c r="AC71" s="8"/>
      <c r="AD71" s="68"/>
      <c r="AE71" s="68"/>
      <c r="AF71" s="68"/>
      <c r="AG71" s="68"/>
      <c r="AH71" s="68"/>
      <c r="AI71" s="68"/>
      <c r="AJ71" s="68"/>
      <c r="AL71" s="8"/>
      <c r="AM71" s="8"/>
      <c r="AW71" s="12"/>
      <c r="AX71" s="20"/>
      <c r="AY71" s="13"/>
      <c r="AZ71" s="14"/>
      <c r="BA71" s="15"/>
      <c r="BB71" s="16"/>
      <c r="BC71" s="17"/>
      <c r="BD71" s="18"/>
      <c r="BE71" s="17"/>
      <c r="BF71" s="19"/>
      <c r="BG71" s="8"/>
      <c r="BH71" s="21"/>
    </row>
    <row r="72" spans="1:65" s="31" customFormat="1" x14ac:dyDescent="0.55000000000000004">
      <c r="A72" s="21"/>
      <c r="B72" s="21"/>
      <c r="C72" s="22"/>
      <c r="D72" s="21"/>
      <c r="E72" s="21"/>
      <c r="F72" s="22"/>
      <c r="G72" s="21"/>
      <c r="H72" s="21"/>
      <c r="I72" s="22"/>
      <c r="J72" s="21"/>
      <c r="K72" s="21"/>
      <c r="L72" s="22"/>
      <c r="M72" s="21"/>
      <c r="N72" s="21"/>
      <c r="O72" s="21"/>
      <c r="P72" s="12"/>
      <c r="Q72" s="71"/>
      <c r="R72" s="13"/>
      <c r="S72" s="14"/>
      <c r="T72" s="15"/>
      <c r="U72" s="16"/>
      <c r="V72" s="17"/>
      <c r="W72" s="18"/>
      <c r="X72" s="17"/>
      <c r="Y72" s="19"/>
      <c r="Z72" s="21"/>
      <c r="AA72" s="21"/>
      <c r="AB72" s="21"/>
      <c r="AD72" s="8"/>
      <c r="AE72" s="8"/>
      <c r="AF72" s="8"/>
      <c r="AG72" s="8"/>
      <c r="AH72" s="8"/>
      <c r="AI72" s="68"/>
      <c r="AJ72" s="68"/>
      <c r="AK72" s="68"/>
      <c r="AL72" s="68"/>
      <c r="AM72" s="68"/>
      <c r="AN72" s="68"/>
      <c r="AO72" s="68"/>
      <c r="AQ72" s="8"/>
      <c r="AR72" s="8"/>
      <c r="BB72" s="12"/>
      <c r="BC72" s="20"/>
      <c r="BD72" s="13"/>
      <c r="BE72" s="14"/>
      <c r="BF72" s="15"/>
      <c r="BG72" s="16"/>
      <c r="BH72" s="17"/>
      <c r="BI72" s="18"/>
      <c r="BJ72" s="17"/>
      <c r="BK72" s="19"/>
      <c r="BL72" s="8"/>
      <c r="BM72" s="21"/>
    </row>
    <row r="73" spans="1:65" s="31" customFormat="1" x14ac:dyDescent="0.55000000000000004">
      <c r="A73" s="21"/>
      <c r="B73" s="21"/>
      <c r="C73" s="22"/>
      <c r="D73" s="21"/>
      <c r="E73" s="21"/>
      <c r="F73" s="22"/>
      <c r="G73" s="21"/>
      <c r="H73" s="21"/>
      <c r="I73" s="22"/>
      <c r="J73" s="21"/>
      <c r="K73" s="21"/>
      <c r="L73" s="22"/>
      <c r="M73" s="21"/>
      <c r="N73" s="21"/>
      <c r="O73" s="21"/>
      <c r="P73" s="12"/>
      <c r="Q73" s="71"/>
      <c r="R73" s="13"/>
      <c r="S73" s="14"/>
      <c r="T73" s="15"/>
      <c r="U73" s="16"/>
      <c r="V73" s="17"/>
      <c r="W73" s="18"/>
      <c r="X73" s="17"/>
      <c r="Y73" s="19"/>
      <c r="Z73" s="21"/>
      <c r="AA73" s="21"/>
      <c r="AB73" s="21"/>
      <c r="AD73" s="8"/>
      <c r="AE73" s="8"/>
      <c r="AF73" s="8"/>
      <c r="AG73" s="8"/>
      <c r="AH73" s="8"/>
      <c r="AI73" s="68"/>
      <c r="AJ73" s="68"/>
      <c r="AK73" s="68"/>
      <c r="AL73" s="68"/>
      <c r="AM73" s="68"/>
      <c r="AN73" s="68"/>
      <c r="AO73" s="68"/>
      <c r="AQ73" s="8"/>
      <c r="AR73" s="8"/>
      <c r="BB73" s="12"/>
      <c r="BC73" s="20"/>
      <c r="BD73" s="13"/>
      <c r="BE73" s="14"/>
      <c r="BF73" s="15"/>
      <c r="BG73" s="16"/>
      <c r="BH73" s="17"/>
      <c r="BI73" s="18"/>
      <c r="BJ73" s="17"/>
      <c r="BK73" s="19"/>
      <c r="BL73" s="8"/>
      <c r="BM73" s="21"/>
    </row>
    <row r="74" spans="1:65" s="31" customFormat="1" x14ac:dyDescent="0.55000000000000004">
      <c r="A74" s="21"/>
      <c r="B74" s="21"/>
      <c r="C74" s="22"/>
      <c r="D74" s="21"/>
      <c r="E74" s="21"/>
      <c r="F74" s="22"/>
      <c r="G74" s="21"/>
      <c r="H74" s="21"/>
      <c r="I74" s="22"/>
      <c r="J74" s="21"/>
      <c r="K74" s="21"/>
      <c r="L74" s="22"/>
      <c r="M74" s="21"/>
      <c r="N74" s="21"/>
      <c r="O74" s="21"/>
      <c r="P74" s="12"/>
      <c r="Q74" s="71"/>
      <c r="R74" s="13"/>
      <c r="S74" s="14"/>
      <c r="T74" s="15"/>
      <c r="U74" s="16"/>
      <c r="V74" s="17"/>
      <c r="W74" s="18"/>
      <c r="X74" s="17"/>
      <c r="Y74" s="19"/>
      <c r="Z74" s="21"/>
      <c r="AA74" s="21"/>
      <c r="AB74" s="21"/>
      <c r="AD74" s="8"/>
      <c r="AE74" s="8"/>
      <c r="AF74" s="8"/>
      <c r="AG74" s="8"/>
      <c r="AH74" s="8"/>
      <c r="AI74" s="68"/>
      <c r="AJ74" s="68"/>
      <c r="AK74" s="68"/>
      <c r="AL74" s="68"/>
      <c r="AM74" s="68"/>
      <c r="AN74" s="68"/>
      <c r="AO74" s="68"/>
      <c r="AQ74" s="8"/>
      <c r="AR74" s="8"/>
      <c r="BB74" s="12"/>
      <c r="BC74" s="20"/>
      <c r="BD74" s="13"/>
      <c r="BE74" s="14"/>
      <c r="BF74" s="15"/>
      <c r="BG74" s="16"/>
      <c r="BH74" s="17"/>
      <c r="BI74" s="18"/>
      <c r="BJ74" s="17"/>
      <c r="BK74" s="19"/>
      <c r="BL74" s="8"/>
      <c r="BM74" s="21"/>
    </row>
    <row r="75" spans="1:65" s="31" customFormat="1" x14ac:dyDescent="0.55000000000000004">
      <c r="A75" s="21"/>
      <c r="B75" s="21"/>
      <c r="C75" s="22"/>
      <c r="D75" s="21"/>
      <c r="E75" s="21"/>
      <c r="F75" s="22"/>
      <c r="G75" s="21"/>
      <c r="H75" s="21"/>
      <c r="I75" s="22"/>
      <c r="J75" s="21"/>
      <c r="K75" s="21"/>
      <c r="L75" s="22"/>
      <c r="M75" s="21"/>
      <c r="N75" s="21"/>
      <c r="O75" s="21"/>
      <c r="X75" s="21"/>
      <c r="Y75" s="21"/>
      <c r="Z75" s="21"/>
      <c r="AA75" s="21"/>
      <c r="AB75" s="21"/>
      <c r="AD75" s="8"/>
      <c r="AE75" s="8"/>
      <c r="AF75" s="8"/>
      <c r="AG75" s="8"/>
      <c r="AH75" s="8"/>
      <c r="AI75" s="68"/>
      <c r="AJ75" s="68"/>
      <c r="AK75" s="68"/>
      <c r="AL75" s="68"/>
      <c r="AM75" s="68"/>
      <c r="AN75" s="68"/>
      <c r="AO75" s="68"/>
      <c r="AQ75" s="8"/>
      <c r="AR75" s="8"/>
      <c r="BB75" s="12"/>
      <c r="BC75" s="20"/>
      <c r="BD75" s="13"/>
      <c r="BE75" s="14"/>
      <c r="BF75" s="15"/>
      <c r="BG75" s="16"/>
      <c r="BH75" s="17"/>
      <c r="BI75" s="18"/>
      <c r="BJ75" s="17"/>
      <c r="BK75" s="19"/>
      <c r="BL75" s="8"/>
      <c r="BM75" s="21"/>
    </row>
    <row r="76" spans="1:65" s="31" customFormat="1" ht="21" x14ac:dyDescent="0.65">
      <c r="A76" s="21"/>
      <c r="B76" s="21"/>
      <c r="C76" s="22"/>
      <c r="D76" s="21"/>
      <c r="E76" s="21"/>
      <c r="F76" s="22"/>
      <c r="G76" s="21"/>
      <c r="H76" s="21"/>
      <c r="I76" s="22"/>
      <c r="J76" s="21"/>
      <c r="K76" s="21"/>
      <c r="L76" s="22"/>
      <c r="M76" s="21"/>
      <c r="N76" s="21"/>
      <c r="O76" s="21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21"/>
      <c r="AA76" s="21"/>
      <c r="AB76" s="21"/>
      <c r="AD76" s="8"/>
      <c r="AE76" s="8"/>
      <c r="AF76" s="8"/>
      <c r="AG76" s="8"/>
      <c r="AH76" s="8"/>
      <c r="AI76" s="68"/>
      <c r="AJ76" s="68"/>
      <c r="AK76" s="68"/>
      <c r="AL76" s="68"/>
      <c r="AM76" s="68"/>
      <c r="AN76" s="68"/>
      <c r="AO76" s="68"/>
      <c r="AQ76" s="8"/>
      <c r="AR76" s="8"/>
      <c r="BB76" s="12"/>
      <c r="BC76" s="20"/>
      <c r="BD76" s="13"/>
      <c r="BE76" s="14"/>
      <c r="BF76" s="15"/>
      <c r="BG76" s="16"/>
      <c r="BH76" s="17"/>
      <c r="BI76" s="18"/>
      <c r="BJ76" s="17"/>
      <c r="BK76" s="19"/>
      <c r="BL76" s="8"/>
      <c r="BM76" s="21"/>
    </row>
    <row r="77" spans="1:65" s="31" customFormat="1" x14ac:dyDescent="0.55000000000000004">
      <c r="A77" s="21"/>
      <c r="B77" s="21"/>
      <c r="C77" s="22"/>
      <c r="D77" s="21"/>
      <c r="E77" s="21"/>
      <c r="F77" s="22"/>
      <c r="G77" s="21"/>
      <c r="H77" s="21"/>
      <c r="I77" s="22"/>
      <c r="J77" s="21"/>
      <c r="K77" s="21"/>
      <c r="L77" s="22"/>
      <c r="M77" s="21"/>
      <c r="N77" s="21"/>
      <c r="O77" s="21"/>
      <c r="P77" s="21"/>
      <c r="Q77" s="21"/>
      <c r="R77" s="72"/>
      <c r="S77" s="71"/>
      <c r="T77" s="21"/>
      <c r="U77" s="21"/>
      <c r="V77" s="73"/>
      <c r="W77" s="72"/>
      <c r="X77" s="21"/>
      <c r="Y77" s="20"/>
      <c r="Z77" s="21"/>
      <c r="AA77" s="21"/>
      <c r="AB77" s="21"/>
      <c r="AD77" s="8"/>
      <c r="AE77" s="8"/>
      <c r="AF77" s="8"/>
      <c r="AG77" s="8"/>
      <c r="AH77" s="8"/>
      <c r="AI77" s="68"/>
      <c r="AJ77" s="68"/>
      <c r="AK77" s="68"/>
      <c r="AL77" s="68"/>
      <c r="AM77" s="68"/>
      <c r="AN77" s="68"/>
      <c r="AO77" s="68"/>
      <c r="AQ77" s="8"/>
      <c r="AR77" s="8"/>
      <c r="BB77" s="12"/>
      <c r="BC77" s="20"/>
      <c r="BD77" s="13"/>
      <c r="BE77" s="14"/>
      <c r="BF77" s="15"/>
      <c r="BG77" s="16"/>
      <c r="BH77" s="17"/>
      <c r="BI77" s="18"/>
      <c r="BJ77" s="17"/>
      <c r="BK77" s="19"/>
      <c r="BL77" s="8"/>
      <c r="BM77" s="21"/>
    </row>
    <row r="78" spans="1:65" s="31" customFormat="1" x14ac:dyDescent="0.55000000000000004">
      <c r="A78" s="21"/>
      <c r="B78" s="21"/>
      <c r="C78" s="22"/>
      <c r="D78" s="21"/>
      <c r="E78" s="21"/>
      <c r="F78" s="22"/>
      <c r="G78" s="21"/>
      <c r="H78" s="21"/>
      <c r="I78" s="22"/>
      <c r="J78" s="21"/>
      <c r="K78" s="21"/>
      <c r="L78" s="22"/>
      <c r="M78" s="21"/>
      <c r="N78" s="21"/>
      <c r="O78" s="21"/>
      <c r="P78" s="21"/>
      <c r="Q78" s="21"/>
      <c r="R78" s="72"/>
      <c r="S78" s="71"/>
      <c r="T78" s="21"/>
      <c r="U78" s="21"/>
      <c r="V78" s="73"/>
      <c r="W78" s="72"/>
      <c r="X78" s="21"/>
      <c r="Y78" s="20"/>
      <c r="Z78" s="21"/>
      <c r="AA78" s="21"/>
      <c r="AB78" s="21"/>
      <c r="AD78" s="8"/>
      <c r="AE78" s="8"/>
      <c r="AF78" s="8"/>
      <c r="AG78" s="8"/>
      <c r="AH78" s="8"/>
      <c r="AI78" s="68"/>
      <c r="AJ78" s="68"/>
      <c r="AK78" s="68"/>
      <c r="AL78" s="68"/>
      <c r="AM78" s="68"/>
      <c r="AN78" s="68"/>
      <c r="AO78" s="68"/>
      <c r="AQ78" s="8"/>
      <c r="AR78" s="8"/>
      <c r="BB78" s="12"/>
      <c r="BC78" s="20"/>
      <c r="BD78" s="13"/>
      <c r="BE78" s="14"/>
      <c r="BF78" s="15"/>
      <c r="BG78" s="16"/>
      <c r="BH78" s="17"/>
      <c r="BI78" s="18"/>
      <c r="BJ78" s="17"/>
      <c r="BK78" s="19"/>
      <c r="BL78" s="8"/>
      <c r="BM78" s="21"/>
    </row>
    <row r="79" spans="1:65" s="31" customFormat="1" x14ac:dyDescent="0.55000000000000004">
      <c r="A79" s="21"/>
      <c r="B79" s="21"/>
      <c r="C79" s="22"/>
      <c r="D79" s="21"/>
      <c r="E79" s="21"/>
      <c r="F79" s="22"/>
      <c r="G79" s="21"/>
      <c r="H79" s="21"/>
      <c r="I79" s="22"/>
      <c r="J79" s="21"/>
      <c r="K79" s="21"/>
      <c r="L79" s="22"/>
      <c r="M79" s="21"/>
      <c r="N79" s="21"/>
      <c r="O79" s="21"/>
      <c r="P79" s="21"/>
      <c r="Q79" s="21"/>
      <c r="R79" s="72"/>
      <c r="S79" s="71"/>
      <c r="T79" s="21"/>
      <c r="U79" s="21"/>
      <c r="V79" s="73"/>
      <c r="W79" s="72"/>
      <c r="X79" s="21"/>
      <c r="Y79" s="20"/>
      <c r="Z79" s="21"/>
      <c r="AA79" s="21"/>
      <c r="AB79" s="21"/>
      <c r="AD79" s="8"/>
      <c r="AE79" s="8"/>
      <c r="AF79" s="8"/>
      <c r="AG79" s="8"/>
      <c r="AH79" s="8"/>
      <c r="AI79" s="68"/>
      <c r="AJ79" s="68"/>
      <c r="AK79" s="68"/>
      <c r="AL79" s="68"/>
      <c r="AM79" s="68"/>
      <c r="AN79" s="68"/>
      <c r="AO79" s="68"/>
      <c r="AQ79" s="8"/>
      <c r="AR79" s="8"/>
      <c r="BB79" s="12"/>
      <c r="BC79" s="20"/>
      <c r="BD79" s="13"/>
      <c r="BE79" s="14"/>
      <c r="BF79" s="15"/>
      <c r="BG79" s="16"/>
      <c r="BH79" s="17"/>
      <c r="BI79" s="18"/>
      <c r="BJ79" s="17"/>
      <c r="BK79" s="19"/>
      <c r="BL79" s="8"/>
      <c r="BM79" s="21"/>
    </row>
    <row r="80" spans="1:65" s="31" customFormat="1" x14ac:dyDescent="0.55000000000000004">
      <c r="A80" s="21"/>
      <c r="B80" s="21"/>
      <c r="C80" s="22"/>
      <c r="D80" s="21"/>
      <c r="E80" s="21"/>
      <c r="F80" s="22"/>
      <c r="G80" s="21"/>
      <c r="H80" s="21"/>
      <c r="I80" s="22"/>
      <c r="J80" s="21"/>
      <c r="K80" s="21"/>
      <c r="L80" s="22"/>
      <c r="M80" s="21"/>
      <c r="N80" s="21"/>
      <c r="O80" s="21"/>
      <c r="P80" s="21"/>
      <c r="Q80" s="21"/>
      <c r="R80" s="72"/>
      <c r="S80" s="71"/>
      <c r="T80" s="21"/>
      <c r="U80" s="21"/>
      <c r="V80" s="73"/>
      <c r="W80" s="72"/>
      <c r="X80" s="21"/>
      <c r="Y80" s="20"/>
      <c r="Z80" s="21"/>
      <c r="AA80" s="21"/>
      <c r="AB80" s="21"/>
      <c r="AD80" s="8"/>
      <c r="AE80" s="8"/>
      <c r="AF80" s="8"/>
      <c r="AG80" s="8"/>
      <c r="AH80" s="8"/>
      <c r="AI80" s="68"/>
      <c r="AJ80" s="68"/>
      <c r="AK80" s="68"/>
      <c r="AL80" s="68"/>
      <c r="AM80" s="68"/>
      <c r="AN80" s="68"/>
      <c r="AO80" s="68"/>
      <c r="AQ80" s="8"/>
      <c r="AR80" s="8"/>
      <c r="BB80" s="12"/>
      <c r="BC80" s="20"/>
      <c r="BD80" s="13"/>
      <c r="BE80" s="14"/>
      <c r="BF80" s="15"/>
      <c r="BG80" s="16"/>
      <c r="BH80" s="17"/>
      <c r="BI80" s="18"/>
      <c r="BJ80" s="17"/>
      <c r="BK80" s="19"/>
      <c r="BL80" s="8"/>
      <c r="BM80" s="21"/>
    </row>
    <row r="81" spans="1:65" s="31" customFormat="1" x14ac:dyDescent="0.55000000000000004">
      <c r="A81" s="21"/>
      <c r="B81" s="21"/>
      <c r="C81" s="22"/>
      <c r="D81" s="21"/>
      <c r="E81" s="21"/>
      <c r="F81" s="22"/>
      <c r="G81" s="21"/>
      <c r="H81" s="21"/>
      <c r="I81" s="22"/>
      <c r="J81" s="21"/>
      <c r="K81" s="21"/>
      <c r="L81" s="22"/>
      <c r="M81" s="21"/>
      <c r="N81" s="21"/>
      <c r="O81" s="21"/>
      <c r="P81" s="21"/>
      <c r="Q81" s="21"/>
      <c r="R81" s="72"/>
      <c r="S81" s="71"/>
      <c r="T81" s="21"/>
      <c r="U81" s="21"/>
      <c r="V81" s="21"/>
      <c r="W81" s="21"/>
      <c r="X81" s="21"/>
      <c r="Y81" s="20"/>
      <c r="Z81" s="21"/>
      <c r="AA81" s="21"/>
      <c r="AB81" s="21"/>
      <c r="AD81" s="8"/>
      <c r="AE81" s="8"/>
      <c r="AF81" s="8"/>
      <c r="AG81" s="8"/>
      <c r="AH81" s="8"/>
      <c r="AI81" s="68"/>
      <c r="AJ81" s="68"/>
      <c r="AK81" s="68"/>
      <c r="AL81" s="68"/>
      <c r="AM81" s="68"/>
      <c r="AN81" s="68"/>
      <c r="AO81" s="68"/>
      <c r="AQ81" s="8"/>
      <c r="AR81" s="8"/>
      <c r="BB81" s="12"/>
      <c r="BC81" s="20"/>
      <c r="BD81" s="13"/>
      <c r="BE81" s="14"/>
      <c r="BF81" s="15"/>
      <c r="BG81" s="16"/>
      <c r="BH81" s="17"/>
      <c r="BI81" s="18"/>
      <c r="BJ81" s="17"/>
      <c r="BK81" s="19"/>
      <c r="BL81" s="8"/>
      <c r="BM81" s="21"/>
    </row>
    <row r="82" spans="1:65" s="31" customFormat="1" x14ac:dyDescent="0.55000000000000004">
      <c r="A82" s="21"/>
      <c r="B82" s="21"/>
      <c r="C82" s="22"/>
      <c r="D82" s="21"/>
      <c r="E82" s="21"/>
      <c r="F82" s="22"/>
      <c r="G82" s="21"/>
      <c r="H82" s="21"/>
      <c r="I82" s="22"/>
      <c r="J82" s="21"/>
      <c r="K82" s="21"/>
      <c r="L82" s="22"/>
      <c r="M82" s="21"/>
      <c r="N82" s="21"/>
      <c r="O82" s="21"/>
      <c r="P82" s="21"/>
      <c r="Q82" s="21"/>
      <c r="R82" s="72"/>
      <c r="S82" s="71"/>
      <c r="T82" s="21"/>
      <c r="U82" s="21"/>
      <c r="V82" s="21"/>
      <c r="W82" s="21"/>
      <c r="X82" s="21"/>
      <c r="Y82" s="20"/>
      <c r="Z82" s="21"/>
      <c r="AA82" s="21"/>
      <c r="AB82" s="21"/>
      <c r="AD82" s="8"/>
      <c r="AE82" s="8"/>
      <c r="AF82" s="8"/>
      <c r="AG82" s="8"/>
      <c r="AH82" s="8"/>
      <c r="AI82" s="68"/>
      <c r="AJ82" s="68"/>
      <c r="AK82" s="68"/>
      <c r="AL82" s="68"/>
      <c r="AM82" s="68"/>
      <c r="AN82" s="68"/>
      <c r="AO82" s="68"/>
      <c r="AQ82" s="8"/>
      <c r="AR82" s="8"/>
      <c r="BB82" s="12"/>
      <c r="BC82" s="20"/>
      <c r="BD82" s="13"/>
      <c r="BE82" s="14"/>
      <c r="BF82" s="15"/>
      <c r="BG82" s="16"/>
      <c r="BH82" s="17"/>
      <c r="BI82" s="18"/>
      <c r="BJ82" s="17"/>
      <c r="BK82" s="19"/>
      <c r="BL82" s="8"/>
      <c r="BM82" s="21"/>
    </row>
    <row r="83" spans="1:65" s="31" customFormat="1" x14ac:dyDescent="0.55000000000000004">
      <c r="A83" s="21"/>
      <c r="B83" s="21"/>
      <c r="C83" s="22"/>
      <c r="D83" s="21"/>
      <c r="E83" s="21"/>
      <c r="F83" s="22"/>
      <c r="G83" s="21"/>
      <c r="H83" s="21"/>
      <c r="I83" s="22"/>
      <c r="J83" s="21"/>
      <c r="K83" s="21"/>
      <c r="L83" s="22"/>
      <c r="M83" s="21"/>
      <c r="N83" s="21"/>
      <c r="O83" s="21"/>
      <c r="P83" s="21"/>
      <c r="Q83" s="21"/>
      <c r="R83" s="72"/>
      <c r="S83" s="71"/>
      <c r="T83" s="21"/>
      <c r="U83" s="21"/>
      <c r="V83" s="21"/>
      <c r="W83" s="21"/>
      <c r="X83" s="21"/>
      <c r="Y83" s="20"/>
      <c r="Z83" s="21"/>
      <c r="AA83" s="21"/>
      <c r="AB83" s="21"/>
      <c r="AD83" s="8"/>
      <c r="AE83" s="8"/>
      <c r="AF83" s="8"/>
      <c r="AG83" s="8"/>
      <c r="AH83" s="8"/>
      <c r="AI83" s="68"/>
      <c r="AJ83" s="68"/>
      <c r="AK83" s="68"/>
      <c r="AL83" s="68"/>
      <c r="AM83" s="68"/>
      <c r="AN83" s="68"/>
      <c r="AO83" s="68"/>
      <c r="AQ83" s="8"/>
      <c r="AR83" s="8"/>
      <c r="BB83" s="12"/>
      <c r="BC83" s="20"/>
      <c r="BD83" s="13"/>
      <c r="BE83" s="14"/>
      <c r="BF83" s="15"/>
      <c r="BG83" s="16"/>
      <c r="BH83" s="17"/>
      <c r="BI83" s="18"/>
      <c r="BJ83" s="17"/>
      <c r="BK83" s="19"/>
      <c r="BL83" s="8"/>
      <c r="BM83" s="21"/>
    </row>
    <row r="84" spans="1:65" s="31" customFormat="1" x14ac:dyDescent="0.55000000000000004">
      <c r="A84" s="21"/>
      <c r="B84" s="21"/>
      <c r="C84" s="22"/>
      <c r="D84" s="21"/>
      <c r="E84" s="21"/>
      <c r="F84" s="22"/>
      <c r="G84" s="21"/>
      <c r="H84" s="21"/>
      <c r="I84" s="22"/>
      <c r="J84" s="21"/>
      <c r="K84" s="21"/>
      <c r="L84" s="22"/>
      <c r="M84" s="21"/>
      <c r="N84" s="21"/>
      <c r="O84" s="21"/>
      <c r="P84" s="21"/>
      <c r="Q84" s="21"/>
      <c r="R84" s="72"/>
      <c r="S84" s="71"/>
      <c r="T84" s="21"/>
      <c r="U84" s="21"/>
      <c r="V84" s="21"/>
      <c r="W84" s="21"/>
      <c r="X84" s="21"/>
      <c r="Y84" s="20"/>
      <c r="Z84" s="21"/>
      <c r="AA84" s="21"/>
      <c r="AB84" s="21"/>
      <c r="AD84" s="8"/>
      <c r="AE84" s="8"/>
      <c r="AF84" s="8"/>
      <c r="AG84" s="8"/>
      <c r="AH84" s="8"/>
      <c r="AI84" s="68"/>
      <c r="AJ84" s="68"/>
      <c r="AK84" s="68"/>
      <c r="AL84" s="68"/>
      <c r="AM84" s="68"/>
      <c r="AN84" s="68"/>
      <c r="AO84" s="68"/>
      <c r="AQ84" s="8"/>
      <c r="AR84" s="8"/>
      <c r="BB84" s="12"/>
      <c r="BC84" s="20"/>
      <c r="BD84" s="13"/>
      <c r="BE84" s="14"/>
      <c r="BF84" s="15"/>
      <c r="BG84" s="16"/>
      <c r="BH84" s="17"/>
      <c r="BI84" s="18"/>
      <c r="BJ84" s="17"/>
      <c r="BK84" s="19"/>
      <c r="BL84" s="8"/>
      <c r="BM84" s="21"/>
    </row>
    <row r="85" spans="1:65" s="31" customFormat="1" x14ac:dyDescent="0.55000000000000004">
      <c r="A85" s="21"/>
      <c r="B85" s="21"/>
      <c r="C85" s="22"/>
      <c r="D85" s="21"/>
      <c r="E85" s="21"/>
      <c r="F85" s="22"/>
      <c r="G85" s="21"/>
      <c r="H85" s="21"/>
      <c r="I85" s="22"/>
      <c r="J85" s="21"/>
      <c r="K85" s="21"/>
      <c r="L85" s="22"/>
      <c r="M85" s="21"/>
      <c r="N85" s="21"/>
      <c r="O85" s="21"/>
      <c r="P85" s="21"/>
      <c r="Q85" s="21"/>
      <c r="R85" s="72"/>
      <c r="S85" s="71"/>
      <c r="T85" s="21"/>
      <c r="U85" s="21"/>
      <c r="V85" s="21"/>
      <c r="W85" s="21"/>
      <c r="X85" s="21"/>
      <c r="Y85" s="20"/>
      <c r="Z85" s="21"/>
      <c r="AA85" s="21"/>
      <c r="AB85" s="21"/>
      <c r="AD85" s="8"/>
      <c r="AE85" s="8"/>
      <c r="AF85" s="8"/>
      <c r="AG85" s="8"/>
      <c r="AH85" s="8"/>
      <c r="AI85" s="68"/>
      <c r="AJ85" s="68"/>
      <c r="AK85" s="68"/>
      <c r="AL85" s="68"/>
      <c r="AM85" s="68"/>
      <c r="AN85" s="68"/>
      <c r="AO85" s="68"/>
      <c r="AQ85" s="8"/>
      <c r="AR85" s="8"/>
      <c r="BB85" s="12"/>
      <c r="BC85" s="20"/>
      <c r="BD85" s="13"/>
      <c r="BE85" s="14"/>
      <c r="BF85" s="15"/>
      <c r="BG85" s="16"/>
      <c r="BH85" s="17"/>
      <c r="BI85" s="18"/>
      <c r="BJ85" s="17"/>
      <c r="BK85" s="19"/>
      <c r="BL85" s="8"/>
      <c r="BM85" s="21"/>
    </row>
    <row r="86" spans="1:65" s="31" customFormat="1" x14ac:dyDescent="0.55000000000000004">
      <c r="A86" s="21"/>
      <c r="B86" s="21"/>
      <c r="C86" s="22"/>
      <c r="D86" s="21"/>
      <c r="E86" s="21"/>
      <c r="F86" s="22"/>
      <c r="G86" s="21"/>
      <c r="H86" s="21"/>
      <c r="I86" s="22"/>
      <c r="J86" s="21"/>
      <c r="K86" s="21"/>
      <c r="L86" s="22"/>
      <c r="M86" s="21"/>
      <c r="N86" s="21"/>
      <c r="O86" s="21"/>
      <c r="P86" s="21"/>
      <c r="Q86" s="21"/>
      <c r="R86" s="72"/>
      <c r="S86" s="71"/>
      <c r="T86" s="21"/>
      <c r="U86" s="21"/>
      <c r="V86" s="21"/>
      <c r="W86" s="21"/>
      <c r="X86" s="21"/>
      <c r="Y86" s="20"/>
      <c r="Z86" s="21"/>
      <c r="AA86" s="21"/>
      <c r="AB86" s="21"/>
      <c r="AD86" s="8"/>
      <c r="AE86" s="8"/>
      <c r="AF86" s="8"/>
      <c r="AG86" s="8"/>
      <c r="AH86" s="8"/>
      <c r="AI86" s="68"/>
      <c r="AJ86" s="68"/>
      <c r="AK86" s="68"/>
      <c r="AL86" s="68"/>
      <c r="AM86" s="68"/>
      <c r="AN86" s="68"/>
      <c r="AO86" s="68"/>
      <c r="AQ86" s="8"/>
      <c r="AR86" s="8"/>
      <c r="BB86" s="12"/>
      <c r="BC86" s="20"/>
      <c r="BD86" s="13"/>
      <c r="BE86" s="14"/>
      <c r="BF86" s="15"/>
      <c r="BG86" s="16"/>
      <c r="BH86" s="17"/>
      <c r="BI86" s="18"/>
      <c r="BJ86" s="17"/>
      <c r="BK86" s="19"/>
      <c r="BL86" s="8"/>
      <c r="BM86" s="21"/>
    </row>
    <row r="87" spans="1:65" s="31" customFormat="1" x14ac:dyDescent="0.55000000000000004">
      <c r="A87" s="21"/>
      <c r="B87" s="21"/>
      <c r="C87" s="22"/>
      <c r="D87" s="21"/>
      <c r="E87" s="21"/>
      <c r="F87" s="22"/>
      <c r="G87" s="21"/>
      <c r="H87" s="21"/>
      <c r="I87" s="22"/>
      <c r="J87" s="21"/>
      <c r="K87" s="21"/>
      <c r="L87" s="22"/>
      <c r="M87" s="21"/>
      <c r="N87" s="21"/>
      <c r="O87" s="21"/>
      <c r="P87" s="21"/>
      <c r="Q87" s="21"/>
      <c r="R87" s="72"/>
      <c r="S87" s="71"/>
      <c r="T87" s="21"/>
      <c r="U87" s="21"/>
      <c r="V87" s="21"/>
      <c r="W87" s="21"/>
      <c r="X87" s="21"/>
      <c r="Y87" s="20"/>
      <c r="Z87" s="21"/>
      <c r="AA87" s="21"/>
      <c r="AB87" s="21"/>
      <c r="AD87" s="8"/>
      <c r="AE87" s="8"/>
      <c r="AF87" s="8"/>
      <c r="AG87" s="8"/>
      <c r="AH87" s="8"/>
      <c r="AI87" s="68"/>
      <c r="AJ87" s="68"/>
      <c r="AK87" s="68"/>
      <c r="AL87" s="68"/>
      <c r="AM87" s="68"/>
      <c r="AN87" s="68"/>
      <c r="AO87" s="68"/>
      <c r="AQ87" s="8"/>
      <c r="AR87" s="8"/>
      <c r="BB87" s="12"/>
      <c r="BC87" s="20"/>
      <c r="BD87" s="13"/>
      <c r="BE87" s="14"/>
      <c r="BF87" s="15"/>
      <c r="BG87" s="16"/>
      <c r="BH87" s="17"/>
      <c r="BI87" s="18"/>
      <c r="BJ87" s="17"/>
      <c r="BK87" s="19"/>
      <c r="BL87" s="8"/>
      <c r="BM87" s="21"/>
    </row>
    <row r="88" spans="1:65" s="31" customFormat="1" x14ac:dyDescent="0.55000000000000004">
      <c r="A88" s="21"/>
      <c r="B88" s="21"/>
      <c r="C88" s="22"/>
      <c r="D88" s="21"/>
      <c r="E88" s="21"/>
      <c r="F88" s="22"/>
      <c r="G88" s="21"/>
      <c r="H88" s="21"/>
      <c r="I88" s="22"/>
      <c r="J88" s="21"/>
      <c r="K88" s="21"/>
      <c r="L88" s="22"/>
      <c r="M88" s="21"/>
      <c r="N88" s="21"/>
      <c r="O88" s="21"/>
      <c r="P88" s="21"/>
      <c r="Q88" s="21"/>
      <c r="R88" s="72"/>
      <c r="S88" s="71"/>
      <c r="T88" s="21"/>
      <c r="U88" s="21"/>
      <c r="V88" s="21"/>
      <c r="W88" s="21"/>
      <c r="X88" s="21"/>
      <c r="Y88" s="20"/>
      <c r="Z88" s="21"/>
      <c r="AA88" s="21"/>
      <c r="AB88" s="21"/>
      <c r="AD88" s="8"/>
      <c r="AE88" s="8"/>
      <c r="AF88" s="8"/>
      <c r="AG88" s="8"/>
      <c r="AH88" s="8"/>
      <c r="AI88" s="68"/>
      <c r="AJ88" s="68"/>
      <c r="AK88" s="68"/>
      <c r="AL88" s="68"/>
      <c r="AM88" s="68"/>
      <c r="AN88" s="68"/>
      <c r="AO88" s="68"/>
      <c r="AQ88" s="8"/>
      <c r="AR88" s="8"/>
      <c r="BB88" s="12"/>
      <c r="BC88" s="20"/>
      <c r="BD88" s="13"/>
      <c r="BE88" s="14"/>
      <c r="BF88" s="15"/>
      <c r="BG88" s="16"/>
      <c r="BH88" s="17"/>
      <c r="BI88" s="18"/>
      <c r="BJ88" s="17"/>
      <c r="BK88" s="19"/>
      <c r="BL88" s="8"/>
      <c r="BM88" s="21"/>
    </row>
    <row r="89" spans="1:65" s="31" customFormat="1" x14ac:dyDescent="0.55000000000000004">
      <c r="A89" s="21"/>
      <c r="B89" s="21"/>
      <c r="C89" s="22"/>
      <c r="D89" s="21"/>
      <c r="E89" s="21"/>
      <c r="F89" s="22"/>
      <c r="G89" s="21"/>
      <c r="H89" s="21"/>
      <c r="I89" s="22"/>
      <c r="J89" s="21"/>
      <c r="K89" s="21"/>
      <c r="L89" s="22"/>
      <c r="M89" s="21"/>
      <c r="N89" s="21"/>
      <c r="O89" s="21"/>
      <c r="P89" s="21"/>
      <c r="Q89" s="21"/>
      <c r="R89" s="72"/>
      <c r="S89" s="71"/>
      <c r="T89" s="21"/>
      <c r="U89" s="21"/>
      <c r="V89" s="21"/>
      <c r="W89" s="21"/>
      <c r="X89" s="21"/>
      <c r="Y89" s="20"/>
      <c r="Z89" s="21"/>
      <c r="AA89" s="21"/>
      <c r="AB89" s="21"/>
      <c r="AD89" s="8"/>
      <c r="AE89" s="8"/>
      <c r="AF89" s="8"/>
      <c r="AG89" s="8"/>
      <c r="AH89" s="8"/>
      <c r="AI89" s="68"/>
      <c r="AJ89" s="68"/>
      <c r="AK89" s="68"/>
      <c r="AL89" s="68"/>
      <c r="AM89" s="68"/>
      <c r="AN89" s="68"/>
      <c r="AO89" s="68"/>
      <c r="AQ89" s="8"/>
      <c r="AR89" s="8"/>
      <c r="BB89" s="12"/>
      <c r="BC89" s="20"/>
      <c r="BD89" s="13"/>
      <c r="BE89" s="14"/>
      <c r="BF89" s="15"/>
      <c r="BG89" s="16"/>
      <c r="BH89" s="17"/>
      <c r="BI89" s="18"/>
      <c r="BJ89" s="17"/>
      <c r="BK89" s="19"/>
      <c r="BL89" s="8"/>
      <c r="BM89" s="21"/>
    </row>
    <row r="90" spans="1:65" s="31" customFormat="1" x14ac:dyDescent="0.55000000000000004">
      <c r="A90" s="21"/>
      <c r="B90" s="21"/>
      <c r="C90" s="22"/>
      <c r="D90" s="21"/>
      <c r="E90" s="21"/>
      <c r="F90" s="22"/>
      <c r="G90" s="21"/>
      <c r="H90" s="21"/>
      <c r="I90" s="22"/>
      <c r="J90" s="21"/>
      <c r="K90" s="21"/>
      <c r="L90" s="22"/>
      <c r="M90" s="21"/>
      <c r="N90" s="21"/>
      <c r="O90" s="21"/>
      <c r="P90" s="21"/>
      <c r="Q90" s="21"/>
      <c r="R90" s="72"/>
      <c r="S90" s="71"/>
      <c r="T90" s="21"/>
      <c r="U90" s="21"/>
      <c r="V90" s="21"/>
      <c r="W90" s="21"/>
      <c r="X90" s="21"/>
      <c r="Y90" s="20"/>
      <c r="Z90" s="21"/>
      <c r="AA90" s="21"/>
      <c r="AB90" s="21"/>
      <c r="AD90" s="8"/>
      <c r="AE90" s="8"/>
      <c r="AF90" s="8"/>
      <c r="AG90" s="8"/>
      <c r="AH90" s="8"/>
      <c r="AI90" s="68"/>
      <c r="AJ90" s="68"/>
      <c r="AK90" s="68"/>
      <c r="AL90" s="68"/>
      <c r="AM90" s="68"/>
      <c r="AN90" s="68"/>
      <c r="AO90" s="68"/>
      <c r="AQ90" s="8"/>
      <c r="AR90" s="8"/>
      <c r="BB90" s="12"/>
      <c r="BC90" s="20"/>
      <c r="BD90" s="13"/>
      <c r="BE90" s="14"/>
      <c r="BF90" s="15"/>
      <c r="BG90" s="16"/>
      <c r="BH90" s="17"/>
      <c r="BI90" s="18"/>
      <c r="BJ90" s="17"/>
      <c r="BK90" s="19"/>
      <c r="BL90" s="8"/>
      <c r="BM90" s="21"/>
    </row>
    <row r="91" spans="1:65" s="31" customFormat="1" x14ac:dyDescent="0.55000000000000004">
      <c r="A91" s="21"/>
      <c r="B91" s="21"/>
      <c r="C91" s="22"/>
      <c r="D91" s="21"/>
      <c r="E91" s="21"/>
      <c r="F91" s="22"/>
      <c r="G91" s="21"/>
      <c r="H91" s="21"/>
      <c r="I91" s="22"/>
      <c r="J91" s="21"/>
      <c r="K91" s="21"/>
      <c r="L91" s="22"/>
      <c r="M91" s="21"/>
      <c r="N91" s="21"/>
      <c r="O91" s="21"/>
      <c r="P91" s="21"/>
      <c r="Q91" s="21"/>
      <c r="R91" s="72"/>
      <c r="S91" s="71"/>
      <c r="T91" s="21"/>
      <c r="U91" s="21"/>
      <c r="V91" s="21"/>
      <c r="W91" s="21"/>
      <c r="X91" s="21"/>
      <c r="Y91" s="20"/>
      <c r="Z91" s="21"/>
      <c r="AA91" s="21"/>
      <c r="AB91" s="21"/>
      <c r="AD91" s="8"/>
      <c r="AE91" s="8"/>
      <c r="AF91" s="8"/>
      <c r="AG91" s="8"/>
      <c r="AH91" s="8"/>
      <c r="AI91" s="68"/>
      <c r="AJ91" s="68"/>
      <c r="AK91" s="68"/>
      <c r="AL91" s="68"/>
      <c r="AM91" s="68"/>
      <c r="AN91" s="68"/>
      <c r="AO91" s="68"/>
      <c r="AQ91" s="8"/>
      <c r="AR91" s="8"/>
      <c r="BB91" s="12"/>
      <c r="BC91" s="20"/>
      <c r="BD91" s="13"/>
      <c r="BE91" s="14"/>
      <c r="BF91" s="15"/>
      <c r="BG91" s="16"/>
      <c r="BH91" s="17"/>
      <c r="BI91" s="18"/>
      <c r="BJ91" s="17"/>
      <c r="BK91" s="19"/>
      <c r="BL91" s="8"/>
      <c r="BM91" s="21"/>
    </row>
    <row r="92" spans="1:65" s="31" customFormat="1" x14ac:dyDescent="0.55000000000000004">
      <c r="A92" s="21"/>
      <c r="B92" s="21"/>
      <c r="C92" s="22"/>
      <c r="D92" s="21"/>
      <c r="E92" s="21"/>
      <c r="F92" s="22"/>
      <c r="G92" s="21"/>
      <c r="H92" s="21"/>
      <c r="I92" s="22"/>
      <c r="J92" s="21"/>
      <c r="K92" s="21"/>
      <c r="L92" s="22"/>
      <c r="M92" s="21"/>
      <c r="N92" s="21"/>
      <c r="O92" s="21"/>
      <c r="P92" s="21"/>
      <c r="Q92" s="21"/>
      <c r="R92" s="72"/>
      <c r="S92" s="71"/>
      <c r="T92" s="21"/>
      <c r="U92" s="21"/>
      <c r="V92" s="21"/>
      <c r="W92" s="21"/>
      <c r="X92" s="21"/>
      <c r="Y92" s="20"/>
      <c r="Z92" s="21"/>
      <c r="AA92" s="21"/>
      <c r="AB92" s="21"/>
      <c r="AD92" s="8"/>
      <c r="AE92" s="8"/>
      <c r="AF92" s="8"/>
      <c r="AG92" s="8"/>
      <c r="AH92" s="8"/>
      <c r="AI92" s="68"/>
      <c r="AJ92" s="68"/>
      <c r="AK92" s="68"/>
      <c r="AL92" s="68"/>
      <c r="AM92" s="68"/>
      <c r="AN92" s="68"/>
      <c r="AO92" s="68"/>
      <c r="AQ92" s="8"/>
      <c r="AR92" s="8"/>
      <c r="BB92" s="12"/>
      <c r="BC92" s="20"/>
      <c r="BD92" s="13"/>
      <c r="BE92" s="14"/>
      <c r="BF92" s="15"/>
      <c r="BG92" s="16"/>
      <c r="BH92" s="17"/>
      <c r="BI92" s="18"/>
      <c r="BJ92" s="17"/>
      <c r="BK92" s="19"/>
      <c r="BL92" s="8"/>
      <c r="BM92" s="21"/>
    </row>
    <row r="93" spans="1:65" s="31" customFormat="1" x14ac:dyDescent="0.55000000000000004">
      <c r="A93" s="21"/>
      <c r="B93" s="21"/>
      <c r="C93" s="22"/>
      <c r="D93" s="21"/>
      <c r="E93" s="21"/>
      <c r="F93" s="22"/>
      <c r="G93" s="21"/>
      <c r="H93" s="21"/>
      <c r="I93" s="22"/>
      <c r="J93" s="21"/>
      <c r="K93" s="21"/>
      <c r="L93" s="22"/>
      <c r="M93" s="21"/>
      <c r="N93" s="21"/>
      <c r="O93" s="21"/>
      <c r="P93" s="21"/>
      <c r="Q93" s="21"/>
      <c r="R93" s="72"/>
      <c r="S93" s="71"/>
      <c r="T93" s="21"/>
      <c r="U93" s="21"/>
      <c r="V93" s="21"/>
      <c r="W93" s="21"/>
      <c r="X93" s="21"/>
      <c r="Y93" s="20"/>
      <c r="Z93" s="21"/>
      <c r="AA93" s="21"/>
      <c r="AB93" s="21"/>
      <c r="AD93" s="8"/>
      <c r="AE93" s="8"/>
      <c r="AF93" s="8"/>
      <c r="AG93" s="8"/>
      <c r="AH93" s="8"/>
      <c r="AI93" s="68"/>
      <c r="AJ93" s="68"/>
      <c r="AK93" s="68"/>
      <c r="AL93" s="68"/>
      <c r="AM93" s="68"/>
      <c r="AN93" s="68"/>
      <c r="AO93" s="68"/>
      <c r="AQ93" s="8"/>
      <c r="AR93" s="8"/>
      <c r="BB93" s="12"/>
      <c r="BC93" s="20"/>
      <c r="BD93" s="13"/>
      <c r="BE93" s="14"/>
      <c r="BF93" s="15"/>
      <c r="BG93" s="16"/>
      <c r="BH93" s="17"/>
      <c r="BI93" s="18"/>
      <c r="BJ93" s="17"/>
      <c r="BK93" s="19"/>
      <c r="BL93" s="8"/>
      <c r="BM93" s="21"/>
    </row>
    <row r="94" spans="1:65" s="31" customFormat="1" x14ac:dyDescent="0.55000000000000004">
      <c r="A94" s="21"/>
      <c r="B94" s="21"/>
      <c r="C94" s="22"/>
      <c r="D94" s="21"/>
      <c r="E94" s="21"/>
      <c r="F94" s="22"/>
      <c r="G94" s="21"/>
      <c r="H94" s="21"/>
      <c r="I94" s="22"/>
      <c r="J94" s="21"/>
      <c r="K94" s="21"/>
      <c r="L94" s="22"/>
      <c r="M94" s="21"/>
      <c r="N94" s="21"/>
      <c r="O94" s="21"/>
      <c r="P94" s="21"/>
      <c r="Q94" s="21"/>
      <c r="R94" s="72"/>
      <c r="S94" s="71"/>
      <c r="T94" s="21"/>
      <c r="U94" s="21"/>
      <c r="V94" s="21"/>
      <c r="W94" s="21"/>
      <c r="X94" s="21"/>
      <c r="Y94" s="20"/>
      <c r="Z94" s="21"/>
      <c r="AA94" s="21"/>
      <c r="AB94" s="21"/>
      <c r="AD94" s="8"/>
      <c r="AE94" s="8"/>
      <c r="AF94" s="8"/>
      <c r="AG94" s="8"/>
      <c r="AH94" s="8"/>
      <c r="AI94" s="68"/>
      <c r="AJ94" s="68"/>
      <c r="AK94" s="68"/>
      <c r="AL94" s="68"/>
      <c r="AM94" s="68"/>
      <c r="AN94" s="68"/>
      <c r="AO94" s="68"/>
      <c r="AQ94" s="8"/>
      <c r="AR94" s="8"/>
      <c r="BB94" s="12"/>
      <c r="BC94" s="20"/>
      <c r="BD94" s="13"/>
      <c r="BE94" s="14"/>
      <c r="BF94" s="15"/>
      <c r="BG94" s="16"/>
      <c r="BH94" s="17"/>
      <c r="BI94" s="18"/>
      <c r="BJ94" s="17"/>
      <c r="BK94" s="19"/>
      <c r="BL94" s="8"/>
      <c r="BM94" s="21"/>
    </row>
    <row r="95" spans="1:65" s="31" customFormat="1" x14ac:dyDescent="0.55000000000000004">
      <c r="A95" s="21"/>
      <c r="B95" s="21"/>
      <c r="C95" s="22"/>
      <c r="D95" s="21"/>
      <c r="E95" s="21"/>
      <c r="F95" s="22"/>
      <c r="G95" s="21"/>
      <c r="H95" s="21"/>
      <c r="I95" s="22"/>
      <c r="J95" s="21"/>
      <c r="K95" s="21"/>
      <c r="L95" s="22"/>
      <c r="M95" s="21"/>
      <c r="N95" s="21"/>
      <c r="O95" s="21"/>
      <c r="P95" s="21"/>
      <c r="Q95" s="21"/>
      <c r="R95" s="72"/>
      <c r="S95" s="71"/>
      <c r="T95" s="21"/>
      <c r="U95" s="21"/>
      <c r="V95" s="21"/>
      <c r="W95" s="21"/>
      <c r="X95" s="21"/>
      <c r="Y95" s="20"/>
      <c r="Z95" s="21"/>
      <c r="AA95" s="21"/>
      <c r="AB95" s="21"/>
      <c r="AD95" s="8"/>
      <c r="AE95" s="8"/>
      <c r="AF95" s="8"/>
      <c r="AG95" s="8"/>
      <c r="AH95" s="8"/>
      <c r="AI95" s="68"/>
      <c r="AJ95" s="68"/>
      <c r="AK95" s="68"/>
      <c r="AL95" s="68"/>
      <c r="AM95" s="68"/>
      <c r="AN95" s="68"/>
      <c r="AO95" s="68"/>
      <c r="AQ95" s="8"/>
      <c r="AR95" s="8"/>
      <c r="BB95" s="12"/>
      <c r="BC95" s="20"/>
      <c r="BD95" s="13"/>
      <c r="BE95" s="14"/>
      <c r="BF95" s="15"/>
      <c r="BG95" s="16"/>
      <c r="BH95" s="17"/>
      <c r="BI95" s="18"/>
      <c r="BJ95" s="17"/>
      <c r="BK95" s="19"/>
      <c r="BL95" s="8"/>
      <c r="BM95" s="21"/>
    </row>
    <row r="96" spans="1:65" s="31" customFormat="1" x14ac:dyDescent="0.55000000000000004">
      <c r="A96" s="21"/>
      <c r="B96" s="21"/>
      <c r="C96" s="22"/>
      <c r="D96" s="21"/>
      <c r="E96" s="21"/>
      <c r="F96" s="22"/>
      <c r="G96" s="21"/>
      <c r="H96" s="21"/>
      <c r="I96" s="22"/>
      <c r="J96" s="21"/>
      <c r="K96" s="21"/>
      <c r="L96" s="22"/>
      <c r="M96" s="21"/>
      <c r="N96" s="21"/>
      <c r="O96" s="21"/>
      <c r="P96" s="21"/>
      <c r="Q96" s="21"/>
      <c r="R96" s="72"/>
      <c r="S96" s="71"/>
      <c r="T96" s="21"/>
      <c r="U96" s="21"/>
      <c r="V96" s="21"/>
      <c r="W96" s="21"/>
      <c r="X96" s="21"/>
      <c r="Y96" s="20"/>
      <c r="Z96" s="21"/>
      <c r="AA96" s="21"/>
      <c r="AB96" s="21"/>
      <c r="AD96" s="8"/>
      <c r="AE96" s="8"/>
      <c r="AF96" s="8"/>
      <c r="AG96" s="8"/>
      <c r="AH96" s="8"/>
      <c r="AI96" s="68"/>
      <c r="AJ96" s="68"/>
      <c r="AK96" s="68"/>
      <c r="AL96" s="68"/>
      <c r="AM96" s="68"/>
      <c r="AN96" s="68"/>
      <c r="AO96" s="68"/>
      <c r="AQ96" s="8"/>
      <c r="AR96" s="8"/>
      <c r="BB96" s="12"/>
      <c r="BC96" s="20"/>
      <c r="BD96" s="13"/>
      <c r="BE96" s="14"/>
      <c r="BF96" s="15"/>
      <c r="BG96" s="16"/>
      <c r="BH96" s="17"/>
      <c r="BI96" s="18"/>
      <c r="BJ96" s="17"/>
      <c r="BK96" s="19"/>
      <c r="BL96" s="8"/>
      <c r="BM96" s="21"/>
    </row>
    <row r="97" spans="1:65" s="31" customFormat="1" x14ac:dyDescent="0.55000000000000004">
      <c r="A97" s="21"/>
      <c r="B97" s="21"/>
      <c r="C97" s="22"/>
      <c r="D97" s="21"/>
      <c r="E97" s="21"/>
      <c r="F97" s="22"/>
      <c r="G97" s="21"/>
      <c r="H97" s="21"/>
      <c r="I97" s="22"/>
      <c r="J97" s="21"/>
      <c r="K97" s="21"/>
      <c r="L97" s="22"/>
      <c r="M97" s="21"/>
      <c r="N97" s="21"/>
      <c r="O97" s="21"/>
      <c r="P97" s="21"/>
      <c r="Q97" s="21"/>
      <c r="R97" s="72"/>
      <c r="S97" s="71"/>
      <c r="T97" s="21"/>
      <c r="U97" s="21"/>
      <c r="V97" s="21"/>
      <c r="W97" s="21"/>
      <c r="X97" s="21"/>
      <c r="Y97" s="20"/>
      <c r="Z97" s="21"/>
      <c r="AA97" s="21"/>
      <c r="AB97" s="21"/>
      <c r="AD97" s="8"/>
      <c r="AE97" s="8"/>
      <c r="AF97" s="8"/>
      <c r="AG97" s="8"/>
      <c r="AH97" s="8"/>
      <c r="AI97" s="68"/>
      <c r="AJ97" s="68"/>
      <c r="AK97" s="68"/>
      <c r="AL97" s="68"/>
      <c r="AM97" s="68"/>
      <c r="AN97" s="68"/>
      <c r="AO97" s="68"/>
      <c r="AQ97" s="8"/>
      <c r="AR97" s="8"/>
      <c r="BB97" s="12"/>
      <c r="BC97" s="20"/>
      <c r="BD97" s="13"/>
      <c r="BE97" s="14"/>
      <c r="BF97" s="15"/>
      <c r="BG97" s="16"/>
      <c r="BH97" s="17"/>
      <c r="BI97" s="18"/>
      <c r="BJ97" s="17"/>
      <c r="BK97" s="19"/>
      <c r="BL97" s="8"/>
      <c r="BM97" s="21"/>
    </row>
    <row r="98" spans="1:65" s="31" customFormat="1" x14ac:dyDescent="0.55000000000000004">
      <c r="A98" s="21"/>
      <c r="B98" s="21"/>
      <c r="C98" s="22"/>
      <c r="D98" s="21"/>
      <c r="E98" s="21"/>
      <c r="F98" s="22"/>
      <c r="G98" s="21"/>
      <c r="H98" s="21"/>
      <c r="I98" s="22"/>
      <c r="J98" s="21"/>
      <c r="K98" s="21"/>
      <c r="L98" s="22"/>
      <c r="M98" s="21"/>
      <c r="N98" s="21"/>
      <c r="O98" s="21"/>
      <c r="P98" s="21"/>
      <c r="Q98" s="21"/>
      <c r="R98" s="72"/>
      <c r="S98" s="71"/>
      <c r="T98" s="21"/>
      <c r="U98" s="21"/>
      <c r="V98" s="21"/>
      <c r="W98" s="21"/>
      <c r="X98" s="21"/>
      <c r="Y98" s="21"/>
      <c r="Z98" s="21"/>
      <c r="AA98" s="21"/>
      <c r="AB98" s="21"/>
      <c r="AD98" s="8"/>
      <c r="AE98" s="8"/>
      <c r="AF98" s="8"/>
      <c r="AG98" s="8"/>
      <c r="AH98" s="8"/>
      <c r="AI98" s="68"/>
      <c r="AJ98" s="68"/>
      <c r="AK98" s="68"/>
      <c r="AL98" s="68"/>
      <c r="AM98" s="68"/>
      <c r="AN98" s="68"/>
      <c r="AO98" s="68"/>
      <c r="AQ98" s="8"/>
      <c r="AR98" s="8"/>
      <c r="BB98" s="12"/>
      <c r="BC98" s="20"/>
      <c r="BD98" s="13"/>
      <c r="BE98" s="14"/>
      <c r="BF98" s="15"/>
      <c r="BG98" s="16"/>
      <c r="BH98" s="17"/>
      <c r="BI98" s="18"/>
      <c r="BJ98" s="17"/>
      <c r="BK98" s="19"/>
      <c r="BL98" s="8"/>
      <c r="BM98" s="21"/>
    </row>
    <row r="99" spans="1:65" s="31" customFormat="1" x14ac:dyDescent="0.55000000000000004">
      <c r="A99" s="21"/>
      <c r="B99" s="21"/>
      <c r="C99" s="22"/>
      <c r="D99" s="21"/>
      <c r="E99" s="21"/>
      <c r="F99" s="22"/>
      <c r="G99" s="21"/>
      <c r="H99" s="21"/>
      <c r="I99" s="22"/>
      <c r="J99" s="21"/>
      <c r="K99" s="21"/>
      <c r="L99" s="22"/>
      <c r="M99" s="21"/>
      <c r="N99" s="21"/>
      <c r="O99" s="21"/>
      <c r="P99" s="21"/>
      <c r="Q99" s="21"/>
      <c r="R99" s="72"/>
      <c r="S99" s="71"/>
      <c r="T99" s="21"/>
      <c r="U99" s="21"/>
      <c r="V99" s="21"/>
      <c r="W99" s="21"/>
      <c r="X99" s="21"/>
      <c r="Y99" s="21"/>
      <c r="Z99" s="21"/>
      <c r="AA99" s="21"/>
      <c r="AB99" s="21"/>
      <c r="AD99" s="8"/>
      <c r="AE99" s="8"/>
      <c r="AF99" s="8"/>
      <c r="AG99" s="8"/>
      <c r="AH99" s="8"/>
      <c r="AI99" s="68"/>
      <c r="AJ99" s="68"/>
      <c r="AK99" s="68"/>
      <c r="AL99" s="68"/>
      <c r="AM99" s="68"/>
      <c r="AN99" s="68"/>
      <c r="AO99" s="68"/>
      <c r="AQ99" s="8"/>
      <c r="AR99" s="8"/>
      <c r="BB99" s="12"/>
      <c r="BC99" s="20"/>
      <c r="BD99" s="13"/>
      <c r="BE99" s="14"/>
      <c r="BF99" s="15"/>
      <c r="BG99" s="16"/>
      <c r="BH99" s="17"/>
      <c r="BI99" s="18"/>
      <c r="BJ99" s="17"/>
      <c r="BK99" s="19"/>
      <c r="BL99" s="8"/>
      <c r="BM99" s="21"/>
    </row>
    <row r="100" spans="1:65" s="31" customFormat="1" x14ac:dyDescent="0.55000000000000004">
      <c r="A100" s="21"/>
      <c r="B100" s="21"/>
      <c r="C100" s="22"/>
      <c r="D100" s="21"/>
      <c r="E100" s="21"/>
      <c r="F100" s="22"/>
      <c r="G100" s="21"/>
      <c r="H100" s="21"/>
      <c r="I100" s="22"/>
      <c r="J100" s="21"/>
      <c r="K100" s="21"/>
      <c r="L100" s="22"/>
      <c r="M100" s="21"/>
      <c r="N100" s="21"/>
      <c r="O100" s="21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21"/>
      <c r="AA100" s="21"/>
      <c r="AB100" s="21"/>
      <c r="AD100" s="8"/>
      <c r="AE100" s="8"/>
      <c r="AF100" s="8"/>
      <c r="AG100" s="8"/>
      <c r="AH100" s="8"/>
      <c r="AI100" s="68"/>
      <c r="AJ100" s="68"/>
      <c r="AK100" s="68"/>
      <c r="AL100" s="68"/>
      <c r="AM100" s="68"/>
      <c r="AN100" s="68"/>
      <c r="AO100" s="68"/>
      <c r="AQ100" s="8"/>
      <c r="AR100" s="8"/>
      <c r="BB100" s="12"/>
      <c r="BC100" s="20"/>
      <c r="BD100" s="13"/>
      <c r="BE100" s="14"/>
      <c r="BF100" s="15"/>
      <c r="BG100" s="16"/>
      <c r="BH100" s="17"/>
      <c r="BI100" s="18"/>
      <c r="BJ100" s="17"/>
      <c r="BK100" s="19"/>
      <c r="BL100" s="8"/>
      <c r="BM100" s="21"/>
    </row>
    <row r="101" spans="1:65" s="31" customFormat="1" x14ac:dyDescent="0.55000000000000004">
      <c r="A101" s="21"/>
      <c r="B101" s="21"/>
      <c r="C101" s="22"/>
      <c r="D101" s="21"/>
      <c r="E101" s="21"/>
      <c r="F101" s="22"/>
      <c r="G101" s="21"/>
      <c r="H101" s="21"/>
      <c r="I101" s="22"/>
      <c r="J101" s="21"/>
      <c r="K101" s="21"/>
      <c r="L101" s="22"/>
      <c r="M101" s="21"/>
      <c r="N101" s="21"/>
      <c r="O101" s="21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21"/>
      <c r="AA101" s="21"/>
      <c r="AB101" s="21"/>
      <c r="AD101" s="8"/>
      <c r="AE101" s="8"/>
      <c r="AF101" s="8"/>
      <c r="AG101" s="8"/>
      <c r="AH101" s="8"/>
      <c r="AI101" s="68"/>
      <c r="AJ101" s="68"/>
      <c r="AK101" s="68"/>
      <c r="AL101" s="68"/>
      <c r="AM101" s="68"/>
      <c r="AN101" s="68"/>
      <c r="AO101" s="68"/>
      <c r="AQ101" s="8"/>
      <c r="AR101" s="8"/>
      <c r="BB101" s="12"/>
      <c r="BC101" s="20"/>
      <c r="BD101" s="13"/>
      <c r="BE101" s="14"/>
      <c r="BF101" s="15"/>
      <c r="BG101" s="16"/>
      <c r="BH101" s="17"/>
      <c r="BI101" s="18"/>
      <c r="BJ101" s="17"/>
      <c r="BK101" s="19"/>
      <c r="BL101" s="8"/>
      <c r="BM101" s="21"/>
    </row>
    <row r="102" spans="1:65" s="31" customFormat="1" x14ac:dyDescent="0.55000000000000004">
      <c r="A102" s="21"/>
      <c r="B102" s="21"/>
      <c r="C102" s="22"/>
      <c r="D102" s="21"/>
      <c r="E102" s="21"/>
      <c r="F102" s="22"/>
      <c r="G102" s="21"/>
      <c r="H102" s="21"/>
      <c r="I102" s="22"/>
      <c r="J102" s="21"/>
      <c r="K102" s="21"/>
      <c r="L102" s="22"/>
      <c r="M102" s="21"/>
      <c r="N102" s="21"/>
      <c r="O102" s="21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21"/>
      <c r="AD102" s="8"/>
      <c r="AE102" s="8"/>
      <c r="AF102" s="8"/>
      <c r="AG102" s="8"/>
      <c r="AH102" s="8"/>
      <c r="AI102" s="68"/>
      <c r="AJ102" s="68"/>
      <c r="AK102" s="68"/>
      <c r="AL102" s="68"/>
      <c r="AM102" s="68"/>
      <c r="AN102" s="68"/>
      <c r="AO102" s="68"/>
      <c r="AQ102" s="8"/>
      <c r="AR102" s="8"/>
      <c r="BB102" s="12"/>
      <c r="BC102" s="20"/>
      <c r="BD102" s="13"/>
      <c r="BE102" s="14"/>
      <c r="BF102" s="15"/>
      <c r="BG102" s="16"/>
      <c r="BH102" s="17"/>
      <c r="BI102" s="18"/>
      <c r="BJ102" s="17"/>
      <c r="BK102" s="19"/>
      <c r="BL102" s="8"/>
      <c r="BM102" s="21"/>
    </row>
    <row r="103" spans="1:65" s="31" customFormat="1" x14ac:dyDescent="0.55000000000000004">
      <c r="A103" s="21"/>
      <c r="B103" s="21"/>
      <c r="C103" s="22"/>
      <c r="D103" s="21"/>
      <c r="E103" s="21"/>
      <c r="F103" s="22"/>
      <c r="G103" s="21"/>
      <c r="H103" s="21"/>
      <c r="I103" s="22"/>
      <c r="J103" s="21"/>
      <c r="K103" s="21"/>
      <c r="L103" s="22"/>
      <c r="M103" s="21"/>
      <c r="N103" s="21"/>
      <c r="O103" s="21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21"/>
      <c r="AD103" s="8"/>
      <c r="AE103" s="8"/>
      <c r="AF103" s="8"/>
      <c r="AG103" s="8"/>
      <c r="AH103" s="8"/>
      <c r="AI103" s="68"/>
      <c r="AJ103" s="68"/>
      <c r="AK103" s="68"/>
      <c r="AL103" s="68"/>
      <c r="AM103" s="68"/>
      <c r="AN103" s="68"/>
      <c r="AO103" s="68"/>
      <c r="AQ103" s="8"/>
      <c r="AR103" s="8"/>
      <c r="BB103" s="12"/>
      <c r="BC103" s="20"/>
      <c r="BD103" s="13"/>
      <c r="BE103" s="14"/>
      <c r="BF103" s="15"/>
      <c r="BG103" s="16"/>
      <c r="BH103" s="17"/>
      <c r="BI103" s="18"/>
      <c r="BJ103" s="17"/>
      <c r="BK103" s="19"/>
      <c r="BL103" s="8"/>
      <c r="BM103" s="21"/>
    </row>
    <row r="104" spans="1:65" s="31" customFormat="1" x14ac:dyDescent="0.55000000000000004">
      <c r="A104" s="21"/>
      <c r="B104" s="21"/>
      <c r="C104" s="22"/>
      <c r="D104" s="21"/>
      <c r="E104" s="21"/>
      <c r="F104" s="22"/>
      <c r="G104" s="21"/>
      <c r="H104" s="21"/>
      <c r="I104" s="22"/>
      <c r="J104" s="21"/>
      <c r="K104" s="21"/>
      <c r="L104" s="22"/>
      <c r="M104" s="21"/>
      <c r="N104" s="21"/>
      <c r="O104" s="21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21"/>
      <c r="AD104" s="8"/>
      <c r="AE104" s="8"/>
      <c r="AF104" s="8"/>
      <c r="AG104" s="8"/>
      <c r="AH104" s="8"/>
      <c r="AI104" s="68"/>
      <c r="AJ104" s="68"/>
      <c r="AK104" s="68"/>
      <c r="AL104" s="68"/>
      <c r="AM104" s="68"/>
      <c r="AN104" s="68"/>
      <c r="AO104" s="68"/>
      <c r="AQ104" s="8"/>
      <c r="AR104" s="8"/>
      <c r="BB104" s="12"/>
      <c r="BC104" s="20"/>
      <c r="BD104" s="13"/>
      <c r="BE104" s="14"/>
      <c r="BF104" s="15"/>
      <c r="BG104" s="16"/>
      <c r="BH104" s="17"/>
      <c r="BI104" s="18"/>
      <c r="BJ104" s="17"/>
      <c r="BK104" s="19"/>
      <c r="BL104" s="8"/>
      <c r="BM104" s="21"/>
    </row>
    <row r="105" spans="1:65" s="31" customFormat="1" x14ac:dyDescent="0.55000000000000004">
      <c r="A105" s="21"/>
      <c r="B105" s="21"/>
      <c r="C105" s="22"/>
      <c r="D105" s="21"/>
      <c r="E105" s="21"/>
      <c r="F105" s="22"/>
      <c r="G105" s="21"/>
      <c r="H105" s="21"/>
      <c r="I105" s="22"/>
      <c r="J105" s="21"/>
      <c r="K105" s="21"/>
      <c r="L105" s="22"/>
      <c r="M105" s="21"/>
      <c r="N105" s="21"/>
      <c r="O105" s="21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21"/>
      <c r="AD105" s="8"/>
      <c r="AE105" s="8"/>
      <c r="AF105" s="8"/>
      <c r="AG105" s="8"/>
      <c r="AH105" s="8"/>
      <c r="AI105" s="68"/>
      <c r="AJ105" s="68"/>
      <c r="AK105" s="68"/>
      <c r="AL105" s="68"/>
      <c r="AM105" s="68"/>
      <c r="AN105" s="68"/>
      <c r="AO105" s="68"/>
      <c r="AQ105" s="8"/>
      <c r="AR105" s="8"/>
      <c r="BB105" s="12"/>
      <c r="BC105" s="20"/>
      <c r="BD105" s="13"/>
      <c r="BE105" s="14"/>
      <c r="BF105" s="15"/>
      <c r="BG105" s="16"/>
      <c r="BH105" s="17"/>
      <c r="BI105" s="18"/>
      <c r="BJ105" s="17"/>
      <c r="BK105" s="19"/>
      <c r="BL105" s="8"/>
      <c r="BM105" s="21"/>
    </row>
    <row r="106" spans="1:65" s="31" customFormat="1" x14ac:dyDescent="0.55000000000000004">
      <c r="A106" s="21"/>
      <c r="B106" s="21"/>
      <c r="C106" s="22"/>
      <c r="D106" s="21"/>
      <c r="E106" s="21"/>
      <c r="F106" s="22"/>
      <c r="G106" s="21"/>
      <c r="H106" s="21"/>
      <c r="I106" s="22"/>
      <c r="J106" s="21"/>
      <c r="K106" s="21"/>
      <c r="L106" s="22"/>
      <c r="M106" s="21"/>
      <c r="N106" s="21"/>
      <c r="O106" s="21"/>
      <c r="AB106" s="21"/>
      <c r="AD106" s="8"/>
      <c r="AE106" s="8"/>
      <c r="AF106" s="8"/>
      <c r="AG106" s="8"/>
      <c r="AH106" s="8"/>
      <c r="AI106" s="68"/>
      <c r="AJ106" s="68"/>
      <c r="AK106" s="68"/>
      <c r="AL106" s="68"/>
      <c r="AM106" s="68"/>
      <c r="AN106" s="68"/>
      <c r="AO106" s="68"/>
      <c r="AQ106" s="8"/>
      <c r="AR106" s="8"/>
      <c r="BB106" s="12"/>
      <c r="BC106" s="20"/>
      <c r="BD106" s="13"/>
      <c r="BE106" s="14"/>
      <c r="BF106" s="15"/>
      <c r="BG106" s="16"/>
      <c r="BH106" s="17"/>
      <c r="BI106" s="18"/>
      <c r="BJ106" s="17"/>
      <c r="BK106" s="19"/>
      <c r="BL106" s="8"/>
      <c r="BM106" s="21"/>
    </row>
    <row r="107" spans="1:65" s="31" customFormat="1" x14ac:dyDescent="0.55000000000000004">
      <c r="A107" s="21"/>
      <c r="B107" s="21"/>
      <c r="C107" s="22"/>
      <c r="D107" s="21"/>
      <c r="E107" s="21"/>
      <c r="F107" s="22"/>
      <c r="G107" s="21"/>
      <c r="H107" s="21"/>
      <c r="I107" s="22"/>
      <c r="J107" s="21"/>
      <c r="K107" s="21"/>
      <c r="L107" s="22"/>
      <c r="M107" s="21"/>
      <c r="N107" s="21"/>
      <c r="O107" s="21"/>
      <c r="AB107" s="21"/>
      <c r="AD107" s="8"/>
      <c r="AE107" s="8"/>
      <c r="AF107" s="8"/>
      <c r="AG107" s="8"/>
      <c r="AH107" s="8"/>
      <c r="AI107" s="68"/>
      <c r="AJ107" s="68"/>
      <c r="AK107" s="68"/>
      <c r="AL107" s="68"/>
      <c r="AM107" s="68"/>
      <c r="AN107" s="68"/>
      <c r="AO107" s="68"/>
      <c r="AQ107" s="8"/>
      <c r="AR107" s="8"/>
      <c r="BB107" s="12"/>
      <c r="BC107" s="20"/>
      <c r="BD107" s="13"/>
      <c r="BE107" s="14"/>
      <c r="BF107" s="15"/>
      <c r="BG107" s="16"/>
      <c r="BH107" s="17"/>
      <c r="BI107" s="18"/>
      <c r="BJ107" s="17"/>
      <c r="BK107" s="19"/>
      <c r="BL107" s="8"/>
      <c r="BM107" s="21"/>
    </row>
    <row r="108" spans="1:65" s="31" customFormat="1" x14ac:dyDescent="0.55000000000000004">
      <c r="A108" s="21"/>
      <c r="B108" s="21"/>
      <c r="C108" s="22"/>
      <c r="D108" s="21"/>
      <c r="E108" s="21"/>
      <c r="F108" s="22"/>
      <c r="G108" s="21"/>
      <c r="H108" s="21"/>
      <c r="I108" s="22"/>
      <c r="J108" s="21"/>
      <c r="K108" s="21"/>
      <c r="L108" s="22"/>
      <c r="M108" s="21"/>
      <c r="N108" s="21"/>
      <c r="O108" s="21"/>
      <c r="AB108" s="21"/>
      <c r="AD108" s="8"/>
      <c r="AE108" s="8"/>
      <c r="AF108" s="8"/>
      <c r="AG108" s="8"/>
      <c r="AH108" s="8"/>
      <c r="AI108" s="68"/>
      <c r="AJ108" s="68"/>
      <c r="AK108" s="68"/>
      <c r="AL108" s="68"/>
      <c r="AM108" s="68"/>
      <c r="AN108" s="68"/>
      <c r="AO108" s="68"/>
      <c r="AQ108" s="8"/>
      <c r="AR108" s="8"/>
      <c r="BB108" s="12"/>
      <c r="BC108" s="20"/>
      <c r="BD108" s="13"/>
      <c r="BE108" s="14"/>
      <c r="BF108" s="15"/>
      <c r="BG108" s="16"/>
      <c r="BH108" s="17"/>
      <c r="BI108" s="18"/>
      <c r="BJ108" s="17"/>
      <c r="BK108" s="19"/>
      <c r="BL108" s="8"/>
      <c r="BM108" s="21"/>
    </row>
    <row r="109" spans="1:65" s="31" customFormat="1" x14ac:dyDescent="0.55000000000000004">
      <c r="A109" s="21"/>
      <c r="B109" s="21"/>
      <c r="C109" s="22"/>
      <c r="D109" s="21"/>
      <c r="E109" s="21"/>
      <c r="F109" s="22"/>
      <c r="G109" s="21"/>
      <c r="H109" s="21"/>
      <c r="I109" s="22"/>
      <c r="J109" s="21"/>
      <c r="K109" s="21"/>
      <c r="L109" s="22"/>
      <c r="M109" s="21"/>
      <c r="N109" s="21"/>
      <c r="O109" s="21"/>
      <c r="AB109" s="21"/>
      <c r="AD109" s="8"/>
      <c r="AE109" s="8"/>
      <c r="AF109" s="8"/>
      <c r="AG109" s="8"/>
      <c r="AH109" s="8"/>
      <c r="AI109" s="68"/>
      <c r="AJ109" s="68"/>
      <c r="AK109" s="68"/>
      <c r="AL109" s="68"/>
      <c r="AM109" s="68"/>
      <c r="AN109" s="68"/>
      <c r="AO109" s="68"/>
      <c r="AQ109" s="8"/>
      <c r="AR109" s="8"/>
      <c r="BB109" s="12"/>
      <c r="BC109" s="20"/>
      <c r="BD109" s="13"/>
      <c r="BE109" s="14"/>
      <c r="BF109" s="15"/>
      <c r="BG109" s="16"/>
      <c r="BH109" s="17"/>
      <c r="BI109" s="18"/>
      <c r="BJ109" s="17"/>
      <c r="BK109" s="19"/>
      <c r="BL109" s="8"/>
      <c r="BM109" s="21"/>
    </row>
    <row r="110" spans="1:65" s="31" customFormat="1" x14ac:dyDescent="0.55000000000000004">
      <c r="A110" s="21"/>
      <c r="B110" s="21"/>
      <c r="C110" s="22"/>
      <c r="D110" s="21"/>
      <c r="E110" s="21"/>
      <c r="F110" s="22"/>
      <c r="G110" s="21"/>
      <c r="H110" s="21"/>
      <c r="I110" s="22"/>
      <c r="J110" s="21"/>
      <c r="K110" s="21"/>
      <c r="L110" s="22"/>
      <c r="M110" s="21"/>
      <c r="N110" s="21"/>
      <c r="O110" s="21"/>
      <c r="AB110" s="21"/>
      <c r="AD110" s="8"/>
      <c r="AE110" s="8"/>
      <c r="AF110" s="8"/>
      <c r="AG110" s="8"/>
      <c r="AH110" s="8"/>
      <c r="AI110" s="68"/>
      <c r="AJ110" s="68"/>
      <c r="AK110" s="68"/>
      <c r="AL110" s="68"/>
      <c r="AM110" s="68"/>
      <c r="AN110" s="68"/>
      <c r="AO110" s="68"/>
      <c r="AQ110" s="8"/>
      <c r="AR110" s="8"/>
      <c r="BB110" s="12"/>
      <c r="BC110" s="20"/>
      <c r="BD110" s="13"/>
      <c r="BE110" s="14"/>
      <c r="BF110" s="15"/>
      <c r="BG110" s="16"/>
      <c r="BH110" s="17"/>
      <c r="BI110" s="18"/>
      <c r="BJ110" s="17"/>
      <c r="BK110" s="19"/>
      <c r="BL110" s="8"/>
      <c r="BM110" s="21"/>
    </row>
    <row r="111" spans="1:65" s="31" customFormat="1" x14ac:dyDescent="0.55000000000000004">
      <c r="A111" s="21"/>
      <c r="B111" s="21"/>
      <c r="C111" s="22"/>
      <c r="D111" s="21"/>
      <c r="E111" s="21"/>
      <c r="F111" s="22"/>
      <c r="G111" s="21"/>
      <c r="H111" s="21"/>
      <c r="I111" s="22"/>
      <c r="J111" s="21"/>
      <c r="K111" s="21"/>
      <c r="L111" s="22"/>
      <c r="M111" s="21"/>
      <c r="N111" s="21"/>
      <c r="O111" s="21"/>
      <c r="AB111" s="21"/>
      <c r="AD111" s="8"/>
      <c r="AE111" s="8"/>
      <c r="AF111" s="8"/>
      <c r="AG111" s="8"/>
      <c r="AH111" s="8"/>
      <c r="AI111" s="68"/>
      <c r="AJ111" s="68"/>
      <c r="AK111" s="68"/>
      <c r="AL111" s="68"/>
      <c r="AM111" s="68"/>
      <c r="AN111" s="68"/>
      <c r="AO111" s="68"/>
      <c r="AQ111" s="8"/>
      <c r="AR111" s="8"/>
      <c r="BB111" s="12"/>
      <c r="BC111" s="20"/>
      <c r="BD111" s="13"/>
      <c r="BE111" s="14"/>
      <c r="BF111" s="15"/>
      <c r="BG111" s="16"/>
      <c r="BH111" s="17"/>
      <c r="BI111" s="18"/>
      <c r="BJ111" s="17"/>
      <c r="BK111" s="19"/>
      <c r="BL111" s="8"/>
      <c r="BM111" s="21"/>
    </row>
    <row r="112" spans="1:65" s="31" customFormat="1" x14ac:dyDescent="0.55000000000000004">
      <c r="A112" s="21"/>
      <c r="B112" s="21"/>
      <c r="C112" s="22"/>
      <c r="D112" s="21"/>
      <c r="E112" s="21"/>
      <c r="F112" s="22"/>
      <c r="G112" s="21"/>
      <c r="H112" s="21"/>
      <c r="I112" s="22"/>
      <c r="J112" s="21"/>
      <c r="K112" s="21"/>
      <c r="L112" s="22"/>
      <c r="M112" s="21"/>
      <c r="N112" s="21"/>
      <c r="O112" s="21"/>
      <c r="AB112" s="21"/>
      <c r="AD112" s="8"/>
      <c r="AE112" s="8"/>
      <c r="AF112" s="8"/>
      <c r="AG112" s="8"/>
      <c r="AH112" s="8"/>
      <c r="AI112" s="68"/>
      <c r="AJ112" s="68"/>
      <c r="AK112" s="68"/>
      <c r="AL112" s="68"/>
      <c r="AM112" s="68"/>
      <c r="AN112" s="68"/>
      <c r="AO112" s="68"/>
      <c r="AQ112" s="8"/>
      <c r="AR112" s="8"/>
      <c r="BB112" s="12"/>
    </row>
    <row r="113" spans="1:54" s="31" customFormat="1" x14ac:dyDescent="0.55000000000000004">
      <c r="A113" s="21"/>
      <c r="B113" s="21"/>
      <c r="C113" s="22"/>
      <c r="D113" s="21"/>
      <c r="E113" s="21"/>
      <c r="F113" s="22"/>
      <c r="G113" s="21"/>
      <c r="H113" s="21"/>
      <c r="I113" s="22"/>
      <c r="J113" s="21"/>
      <c r="K113" s="21"/>
      <c r="L113" s="22"/>
      <c r="M113" s="21"/>
      <c r="N113" s="21"/>
      <c r="O113" s="21"/>
      <c r="AB113" s="21"/>
      <c r="AD113" s="8"/>
      <c r="AE113" s="8"/>
      <c r="AF113" s="8"/>
      <c r="AG113" s="8"/>
      <c r="AH113" s="8"/>
      <c r="AI113" s="68"/>
      <c r="AJ113" s="68"/>
      <c r="AK113" s="68"/>
      <c r="AL113" s="68"/>
      <c r="AM113" s="68"/>
      <c r="AN113" s="68"/>
      <c r="AO113" s="68"/>
      <c r="AQ113" s="8"/>
      <c r="AR113" s="8"/>
      <c r="BB113" s="12"/>
    </row>
    <row r="114" spans="1:54" s="31" customFormat="1" x14ac:dyDescent="0.55000000000000004">
      <c r="A114" s="21"/>
      <c r="B114" s="21"/>
      <c r="C114" s="22"/>
      <c r="D114" s="21"/>
      <c r="E114" s="21"/>
      <c r="F114" s="22"/>
      <c r="G114" s="21"/>
      <c r="H114" s="21"/>
      <c r="I114" s="22"/>
      <c r="J114" s="21"/>
      <c r="K114" s="21"/>
      <c r="L114" s="22"/>
      <c r="M114" s="21"/>
      <c r="N114" s="21"/>
      <c r="O114" s="21"/>
      <c r="AB114" s="21"/>
      <c r="AD114" s="8"/>
      <c r="AE114" s="8"/>
      <c r="AF114" s="8"/>
      <c r="AG114" s="8"/>
      <c r="AH114" s="8"/>
      <c r="AI114" s="68"/>
      <c r="AJ114" s="68"/>
      <c r="AK114" s="68"/>
      <c r="AL114" s="68"/>
      <c r="AM114" s="68"/>
      <c r="AN114" s="68"/>
      <c r="AO114" s="68"/>
      <c r="AQ114" s="8"/>
      <c r="AR114" s="8"/>
      <c r="BB114" s="12"/>
    </row>
    <row r="115" spans="1:54" s="31" customFormat="1" x14ac:dyDescent="0.55000000000000004">
      <c r="A115" s="21"/>
      <c r="B115" s="21"/>
      <c r="C115" s="22"/>
      <c r="D115" s="21"/>
      <c r="E115" s="21"/>
      <c r="F115" s="22"/>
      <c r="G115" s="21"/>
      <c r="H115" s="21"/>
      <c r="I115" s="22"/>
      <c r="J115" s="21"/>
      <c r="K115" s="21"/>
      <c r="L115" s="22"/>
      <c r="M115" s="21"/>
      <c r="N115" s="21"/>
      <c r="O115" s="21"/>
      <c r="AB115" s="21"/>
      <c r="AD115" s="8"/>
      <c r="AE115" s="8"/>
      <c r="AF115" s="8"/>
      <c r="AG115" s="8"/>
      <c r="AH115" s="8"/>
      <c r="AI115" s="68"/>
      <c r="AJ115" s="68"/>
      <c r="AK115" s="68"/>
      <c r="AL115" s="68"/>
      <c r="AM115" s="68"/>
      <c r="AN115" s="68"/>
      <c r="AO115" s="68"/>
      <c r="AQ115" s="8"/>
      <c r="AR115" s="8"/>
      <c r="BB115" s="12"/>
    </row>
    <row r="116" spans="1:54" s="31" customFormat="1" x14ac:dyDescent="0.55000000000000004">
      <c r="A116" s="21"/>
      <c r="B116" s="21"/>
      <c r="C116" s="22"/>
      <c r="D116" s="21"/>
      <c r="E116" s="21"/>
      <c r="F116" s="22"/>
      <c r="G116" s="21"/>
      <c r="H116" s="21"/>
      <c r="I116" s="22"/>
      <c r="J116" s="21"/>
      <c r="K116" s="21"/>
      <c r="L116" s="22"/>
      <c r="M116" s="21"/>
      <c r="N116" s="21"/>
      <c r="O116" s="21"/>
      <c r="AB116" s="21"/>
      <c r="AD116" s="8"/>
      <c r="AE116" s="8"/>
      <c r="AF116" s="8"/>
      <c r="AG116" s="8"/>
      <c r="AH116" s="8"/>
      <c r="AI116" s="68"/>
      <c r="AJ116" s="68"/>
      <c r="AK116" s="68"/>
      <c r="AL116" s="68"/>
      <c r="AM116" s="68"/>
      <c r="AN116" s="68"/>
      <c r="AO116" s="68"/>
      <c r="AQ116" s="8"/>
      <c r="AR116" s="8"/>
      <c r="BB116" s="12"/>
    </row>
    <row r="117" spans="1:54" s="31" customFormat="1" x14ac:dyDescent="0.55000000000000004">
      <c r="A117" s="21"/>
      <c r="B117" s="21"/>
      <c r="C117" s="22"/>
      <c r="D117" s="21"/>
      <c r="E117" s="21"/>
      <c r="F117" s="22"/>
      <c r="G117" s="21"/>
      <c r="H117" s="21"/>
      <c r="I117" s="22"/>
      <c r="J117" s="21"/>
      <c r="K117" s="21"/>
      <c r="L117" s="22"/>
      <c r="M117" s="21"/>
      <c r="N117" s="21"/>
      <c r="O117" s="21"/>
      <c r="AB117" s="21"/>
      <c r="AD117" s="8"/>
      <c r="AE117" s="8"/>
      <c r="AF117" s="8"/>
      <c r="AG117" s="8"/>
      <c r="AH117" s="8"/>
      <c r="AI117" s="68"/>
      <c r="AJ117" s="68"/>
      <c r="AK117" s="68"/>
      <c r="AL117" s="68"/>
      <c r="AM117" s="68"/>
      <c r="AN117" s="68"/>
      <c r="AO117" s="68"/>
      <c r="AQ117" s="8"/>
      <c r="AR117" s="8"/>
      <c r="BB117" s="12"/>
    </row>
    <row r="118" spans="1:54" s="31" customFormat="1" x14ac:dyDescent="0.55000000000000004">
      <c r="A118" s="21"/>
      <c r="B118" s="21"/>
      <c r="C118" s="22"/>
      <c r="D118" s="21"/>
      <c r="E118" s="21"/>
      <c r="F118" s="22"/>
      <c r="G118" s="21"/>
      <c r="H118" s="21"/>
      <c r="I118" s="22"/>
      <c r="J118" s="21"/>
      <c r="K118" s="21"/>
      <c r="L118" s="22"/>
      <c r="M118" s="21"/>
      <c r="N118" s="21"/>
      <c r="O118" s="21"/>
      <c r="AB118" s="21"/>
      <c r="AD118" s="8"/>
      <c r="AE118" s="8"/>
      <c r="AF118" s="8"/>
      <c r="AG118" s="8"/>
      <c r="AH118" s="8"/>
      <c r="AI118" s="68"/>
      <c r="AJ118" s="68"/>
      <c r="AK118" s="68"/>
      <c r="AL118" s="68"/>
      <c r="AM118" s="68"/>
      <c r="AN118" s="68"/>
      <c r="AO118" s="68"/>
      <c r="AQ118" s="8"/>
      <c r="AR118" s="8"/>
      <c r="BB118" s="12"/>
    </row>
    <row r="119" spans="1:54" s="31" customFormat="1" x14ac:dyDescent="0.55000000000000004">
      <c r="A119" s="21"/>
      <c r="B119" s="21"/>
      <c r="C119" s="22"/>
      <c r="D119" s="21"/>
      <c r="E119" s="21"/>
      <c r="F119" s="22"/>
      <c r="G119" s="21"/>
      <c r="H119" s="21"/>
      <c r="I119" s="22"/>
      <c r="J119" s="21"/>
      <c r="K119" s="21"/>
      <c r="L119" s="22"/>
      <c r="M119" s="21"/>
      <c r="N119" s="21"/>
      <c r="O119" s="21"/>
      <c r="AB119" s="21"/>
      <c r="AD119" s="8"/>
      <c r="AE119" s="8"/>
      <c r="AF119" s="8"/>
      <c r="AG119" s="8"/>
      <c r="AH119" s="8"/>
      <c r="AI119" s="68"/>
      <c r="AJ119" s="68"/>
      <c r="AK119" s="68"/>
      <c r="AL119" s="68"/>
      <c r="AM119" s="68"/>
      <c r="AN119" s="68"/>
      <c r="AO119" s="68"/>
      <c r="AQ119" s="8"/>
      <c r="AR119" s="8"/>
      <c r="BB119" s="12"/>
    </row>
    <row r="120" spans="1:54" s="31" customFormat="1" x14ac:dyDescent="0.55000000000000004">
      <c r="A120" s="21"/>
      <c r="B120" s="21"/>
      <c r="C120" s="22"/>
      <c r="D120" s="21"/>
      <c r="E120" s="21"/>
      <c r="F120" s="22"/>
      <c r="G120" s="21"/>
      <c r="H120" s="21"/>
      <c r="I120" s="22"/>
      <c r="J120" s="21"/>
      <c r="K120" s="21"/>
      <c r="L120" s="22"/>
      <c r="M120" s="21"/>
      <c r="N120" s="21"/>
      <c r="O120" s="21"/>
      <c r="AB120" s="21"/>
      <c r="AD120" s="8"/>
      <c r="AE120" s="8"/>
      <c r="AF120" s="8"/>
      <c r="AG120" s="8"/>
      <c r="AH120" s="8"/>
      <c r="AI120" s="68"/>
      <c r="AJ120" s="68"/>
      <c r="AK120" s="68"/>
      <c r="AL120" s="68"/>
      <c r="AM120" s="68"/>
      <c r="AN120" s="68"/>
      <c r="AO120" s="68"/>
      <c r="AQ120" s="8"/>
      <c r="AR120" s="8"/>
      <c r="BB120" s="12"/>
    </row>
    <row r="121" spans="1:54" s="31" customFormat="1" x14ac:dyDescent="0.55000000000000004">
      <c r="C121" s="22"/>
      <c r="F121" s="74"/>
      <c r="I121" s="74"/>
      <c r="L121" s="74"/>
      <c r="AD121" s="8"/>
      <c r="AE121" s="8"/>
      <c r="AF121" s="8"/>
      <c r="AG121" s="8"/>
      <c r="AH121" s="8"/>
      <c r="AI121" s="68"/>
      <c r="AJ121" s="68"/>
      <c r="AK121" s="68"/>
      <c r="AL121" s="68"/>
      <c r="AM121" s="68"/>
      <c r="AN121" s="68"/>
      <c r="AO121" s="68"/>
      <c r="AQ121" s="8"/>
      <c r="AR121" s="8"/>
      <c r="BB121" s="12"/>
    </row>
    <row r="122" spans="1:54" s="31" customFormat="1" x14ac:dyDescent="0.55000000000000004">
      <c r="C122" s="22"/>
      <c r="F122" s="74"/>
      <c r="I122" s="74"/>
      <c r="L122" s="74"/>
      <c r="AD122" s="8"/>
      <c r="AE122" s="8"/>
      <c r="AF122" s="8"/>
      <c r="AG122" s="8"/>
      <c r="AH122" s="8"/>
      <c r="AI122" s="68"/>
      <c r="AJ122" s="68"/>
      <c r="AK122" s="68"/>
      <c r="AL122" s="68"/>
      <c r="AM122" s="68"/>
      <c r="AN122" s="68"/>
      <c r="AO122" s="68"/>
      <c r="AQ122" s="8"/>
      <c r="AR122" s="8"/>
      <c r="BB122" s="12"/>
    </row>
    <row r="123" spans="1:54" s="31" customFormat="1" x14ac:dyDescent="0.55000000000000004">
      <c r="C123" s="22"/>
      <c r="F123" s="74"/>
      <c r="I123" s="74"/>
      <c r="L123" s="74"/>
      <c r="AD123" s="8"/>
      <c r="AE123" s="8"/>
      <c r="AF123" s="8"/>
      <c r="AG123" s="8"/>
      <c r="AH123" s="8"/>
      <c r="AI123" s="68"/>
      <c r="AJ123" s="68"/>
      <c r="AK123" s="68"/>
      <c r="AL123" s="68"/>
      <c r="AM123" s="68"/>
      <c r="AN123" s="68"/>
      <c r="AO123" s="68"/>
      <c r="AQ123" s="8"/>
      <c r="AR123" s="8"/>
      <c r="BB123" s="12"/>
    </row>
    <row r="124" spans="1:54" s="31" customFormat="1" x14ac:dyDescent="0.55000000000000004">
      <c r="C124" s="22"/>
      <c r="F124" s="74"/>
      <c r="I124" s="74"/>
      <c r="L124" s="74"/>
      <c r="AD124" s="8"/>
      <c r="AE124" s="8"/>
      <c r="AF124" s="8"/>
      <c r="AG124" s="8"/>
      <c r="AH124" s="8"/>
      <c r="AI124" s="68"/>
      <c r="AJ124" s="68"/>
      <c r="AK124" s="68"/>
      <c r="AL124" s="68"/>
      <c r="AM124" s="68"/>
      <c r="AN124" s="68"/>
      <c r="AO124" s="68"/>
      <c r="AQ124" s="8"/>
      <c r="AR124" s="8"/>
      <c r="BB124" s="12"/>
    </row>
    <row r="125" spans="1:54" s="31" customFormat="1" x14ac:dyDescent="0.55000000000000004">
      <c r="C125" s="22"/>
      <c r="F125" s="74"/>
      <c r="I125" s="74"/>
      <c r="L125" s="74"/>
      <c r="AD125" s="8"/>
      <c r="AE125" s="8"/>
      <c r="AF125" s="8"/>
      <c r="AG125" s="8"/>
      <c r="AH125" s="8"/>
      <c r="AI125" s="68"/>
      <c r="AJ125" s="68"/>
      <c r="AK125" s="68"/>
      <c r="AL125" s="68"/>
      <c r="AM125" s="68"/>
      <c r="AN125" s="68"/>
      <c r="AO125" s="68"/>
      <c r="AQ125" s="8"/>
      <c r="AR125" s="8"/>
      <c r="BB125" s="12"/>
    </row>
    <row r="126" spans="1:54" s="31" customFormat="1" x14ac:dyDescent="0.55000000000000004">
      <c r="C126" s="22"/>
      <c r="F126" s="74"/>
      <c r="I126" s="74"/>
      <c r="L126" s="74"/>
      <c r="AD126" s="8"/>
      <c r="AE126" s="8"/>
      <c r="AF126" s="8"/>
      <c r="AG126" s="8"/>
      <c r="AH126" s="8"/>
      <c r="AI126" s="68"/>
      <c r="AJ126" s="68"/>
      <c r="AK126" s="68"/>
      <c r="AL126" s="68"/>
      <c r="AM126" s="68"/>
      <c r="AN126" s="68"/>
      <c r="AO126" s="68"/>
      <c r="AQ126" s="8"/>
      <c r="AR126" s="8"/>
      <c r="BB126" s="12"/>
    </row>
    <row r="127" spans="1:54" s="31" customFormat="1" x14ac:dyDescent="0.55000000000000004">
      <c r="C127" s="22"/>
      <c r="F127" s="74"/>
      <c r="I127" s="74"/>
      <c r="L127" s="74"/>
      <c r="AD127" s="8"/>
      <c r="AE127" s="8"/>
      <c r="AF127" s="8"/>
      <c r="AG127" s="8"/>
      <c r="AH127" s="8"/>
      <c r="AI127" s="68"/>
      <c r="AJ127" s="68"/>
      <c r="AK127" s="68"/>
      <c r="AL127" s="68"/>
      <c r="AM127" s="68"/>
      <c r="AN127" s="68"/>
      <c r="AO127" s="68"/>
      <c r="AQ127" s="8"/>
      <c r="AR127" s="8"/>
      <c r="BB127" s="12"/>
    </row>
    <row r="128" spans="1:54" s="31" customFormat="1" x14ac:dyDescent="0.55000000000000004">
      <c r="C128" s="22"/>
      <c r="F128" s="74"/>
      <c r="I128" s="74"/>
      <c r="L128" s="74"/>
      <c r="AD128" s="8"/>
      <c r="AE128" s="8"/>
      <c r="AF128" s="8"/>
      <c r="AG128" s="8"/>
      <c r="AH128" s="8"/>
      <c r="AI128" s="68"/>
      <c r="AJ128" s="68"/>
      <c r="AK128" s="68"/>
      <c r="AL128" s="68"/>
      <c r="AM128" s="68"/>
      <c r="AN128" s="68"/>
      <c r="AO128" s="68"/>
      <c r="AQ128" s="8"/>
      <c r="AR128" s="8"/>
      <c r="BB128" s="12"/>
    </row>
    <row r="129" spans="3:44" s="31" customFormat="1" x14ac:dyDescent="0.55000000000000004">
      <c r="C129" s="22"/>
      <c r="F129" s="74"/>
      <c r="I129" s="74"/>
      <c r="L129" s="74"/>
      <c r="AD129" s="8"/>
      <c r="AE129" s="8"/>
      <c r="AF129" s="8"/>
      <c r="AG129" s="8"/>
      <c r="AH129" s="8"/>
      <c r="AI129" s="68"/>
      <c r="AJ129" s="68"/>
      <c r="AK129" s="68"/>
      <c r="AL129" s="68"/>
      <c r="AM129" s="68"/>
      <c r="AN129" s="68"/>
      <c r="AO129" s="68"/>
      <c r="AQ129" s="8"/>
      <c r="AR129" s="8"/>
    </row>
    <row r="130" spans="3:44" s="31" customFormat="1" x14ac:dyDescent="0.55000000000000004">
      <c r="C130" s="22"/>
      <c r="F130" s="74"/>
      <c r="I130" s="74"/>
      <c r="L130" s="74"/>
      <c r="AD130" s="8"/>
      <c r="AE130" s="8"/>
      <c r="AF130" s="8"/>
      <c r="AG130" s="8"/>
      <c r="AH130" s="8"/>
      <c r="AI130" s="68"/>
      <c r="AJ130" s="68"/>
      <c r="AK130" s="68"/>
      <c r="AL130" s="68"/>
      <c r="AM130" s="68"/>
      <c r="AN130" s="68"/>
      <c r="AO130" s="68"/>
      <c r="AQ130" s="8"/>
      <c r="AR130" s="8"/>
    </row>
    <row r="131" spans="3:44" s="31" customFormat="1" x14ac:dyDescent="0.55000000000000004">
      <c r="C131" s="22"/>
      <c r="F131" s="74"/>
      <c r="I131" s="74"/>
      <c r="L131" s="74"/>
      <c r="AD131" s="8"/>
      <c r="AE131" s="8"/>
      <c r="AF131" s="8"/>
      <c r="AG131" s="8"/>
      <c r="AH131" s="8"/>
      <c r="AI131" s="68"/>
      <c r="AJ131" s="68"/>
      <c r="AK131" s="68"/>
      <c r="AL131" s="68"/>
      <c r="AM131" s="68"/>
      <c r="AN131" s="68"/>
      <c r="AO131" s="68"/>
      <c r="AQ131" s="8"/>
      <c r="AR131" s="8"/>
    </row>
    <row r="132" spans="3:44" s="31" customFormat="1" x14ac:dyDescent="0.55000000000000004">
      <c r="C132" s="22"/>
      <c r="F132" s="74"/>
      <c r="I132" s="74"/>
      <c r="L132" s="74"/>
      <c r="AD132" s="8"/>
      <c r="AE132" s="8"/>
      <c r="AF132" s="8"/>
      <c r="AG132" s="8"/>
      <c r="AH132" s="8"/>
      <c r="AI132" s="68"/>
      <c r="AJ132" s="68"/>
      <c r="AK132" s="68"/>
      <c r="AL132" s="68"/>
      <c r="AM132" s="68"/>
      <c r="AN132" s="68"/>
      <c r="AO132" s="68"/>
      <c r="AQ132" s="8"/>
      <c r="AR132" s="8"/>
    </row>
    <row r="133" spans="3:44" s="31" customFormat="1" x14ac:dyDescent="0.55000000000000004">
      <c r="C133" s="22"/>
      <c r="F133" s="74"/>
      <c r="I133" s="74"/>
      <c r="L133" s="74"/>
      <c r="AD133" s="8"/>
      <c r="AE133" s="8"/>
      <c r="AF133" s="8"/>
      <c r="AG133" s="8"/>
      <c r="AH133" s="8"/>
      <c r="AI133" s="68"/>
      <c r="AJ133" s="68"/>
      <c r="AK133" s="68"/>
      <c r="AL133" s="68"/>
      <c r="AM133" s="68"/>
      <c r="AN133" s="68"/>
      <c r="AO133" s="68"/>
      <c r="AQ133" s="8"/>
      <c r="AR133" s="8"/>
    </row>
    <row r="134" spans="3:44" s="31" customFormat="1" x14ac:dyDescent="0.55000000000000004">
      <c r="C134" s="22"/>
      <c r="F134" s="74"/>
      <c r="I134" s="74"/>
      <c r="L134" s="74"/>
      <c r="AD134" s="8"/>
      <c r="AE134" s="8"/>
      <c r="AF134" s="8"/>
      <c r="AG134" s="8"/>
      <c r="AH134" s="8"/>
      <c r="AI134" s="68"/>
      <c r="AJ134" s="68"/>
      <c r="AK134" s="68"/>
      <c r="AL134" s="68"/>
      <c r="AM134" s="68"/>
      <c r="AN134" s="68"/>
      <c r="AO134" s="68"/>
      <c r="AQ134" s="8"/>
      <c r="AR134" s="8"/>
    </row>
    <row r="135" spans="3:44" s="31" customFormat="1" x14ac:dyDescent="0.55000000000000004">
      <c r="C135" s="22"/>
      <c r="F135" s="74"/>
      <c r="I135" s="74"/>
      <c r="L135" s="74"/>
      <c r="AD135" s="8"/>
      <c r="AE135" s="8"/>
      <c r="AF135" s="8"/>
      <c r="AG135" s="8"/>
      <c r="AH135" s="8"/>
      <c r="AI135" s="68"/>
      <c r="AJ135" s="68"/>
      <c r="AK135" s="68"/>
      <c r="AL135" s="68"/>
      <c r="AM135" s="68"/>
      <c r="AN135" s="68"/>
      <c r="AO135" s="68"/>
      <c r="AQ135" s="8"/>
      <c r="AR135" s="8"/>
    </row>
    <row r="136" spans="3:44" s="31" customFormat="1" x14ac:dyDescent="0.55000000000000004">
      <c r="C136" s="22"/>
      <c r="F136" s="74"/>
      <c r="I136" s="74"/>
      <c r="L136" s="74"/>
      <c r="AD136" s="8"/>
      <c r="AE136" s="8"/>
      <c r="AF136" s="8"/>
      <c r="AG136" s="8"/>
      <c r="AH136" s="8"/>
      <c r="AI136" s="68"/>
      <c r="AJ136" s="68"/>
      <c r="AK136" s="68"/>
      <c r="AL136" s="68"/>
      <c r="AM136" s="68"/>
      <c r="AN136" s="68"/>
      <c r="AO136" s="68"/>
      <c r="AQ136" s="8"/>
      <c r="AR136" s="8"/>
    </row>
    <row r="137" spans="3:44" s="31" customFormat="1" x14ac:dyDescent="0.55000000000000004">
      <c r="C137" s="22"/>
      <c r="F137" s="74"/>
      <c r="I137" s="74"/>
      <c r="L137" s="74"/>
      <c r="AD137" s="8"/>
      <c r="AE137" s="8"/>
      <c r="AF137" s="8"/>
      <c r="AG137" s="8"/>
      <c r="AH137" s="8"/>
      <c r="AI137" s="68"/>
      <c r="AJ137" s="68"/>
      <c r="AK137" s="68"/>
      <c r="AL137" s="68"/>
      <c r="AM137" s="68"/>
      <c r="AN137" s="68"/>
      <c r="AO137" s="68"/>
      <c r="AQ137" s="8"/>
      <c r="AR137" s="8"/>
    </row>
    <row r="138" spans="3:44" s="31" customFormat="1" x14ac:dyDescent="0.55000000000000004">
      <c r="C138" s="22"/>
      <c r="F138" s="74"/>
      <c r="I138" s="74"/>
      <c r="L138" s="74"/>
      <c r="Q138" s="21"/>
      <c r="AD138" s="8"/>
      <c r="AE138" s="8"/>
      <c r="AF138" s="8"/>
      <c r="AG138" s="8"/>
      <c r="AH138" s="8"/>
      <c r="AI138" s="68"/>
      <c r="AJ138" s="68"/>
      <c r="AK138" s="68"/>
      <c r="AL138" s="68"/>
      <c r="AM138" s="68"/>
      <c r="AN138" s="68"/>
      <c r="AO138" s="68"/>
      <c r="AQ138" s="8"/>
      <c r="AR138" s="8"/>
    </row>
    <row r="139" spans="3:44" s="31" customFormat="1" x14ac:dyDescent="0.55000000000000004">
      <c r="C139" s="22"/>
      <c r="F139" s="74"/>
      <c r="I139" s="74"/>
      <c r="L139" s="74"/>
      <c r="AD139" s="8"/>
      <c r="AE139" s="8"/>
      <c r="AF139" s="8"/>
      <c r="AG139" s="8"/>
      <c r="AH139" s="8"/>
      <c r="AI139" s="68"/>
      <c r="AJ139" s="68"/>
      <c r="AK139" s="68"/>
      <c r="AL139" s="68"/>
      <c r="AM139" s="68"/>
      <c r="AN139" s="68"/>
      <c r="AO139" s="68"/>
      <c r="AQ139" s="8"/>
      <c r="AR139" s="8"/>
    </row>
    <row r="140" spans="3:44" s="31" customFormat="1" x14ac:dyDescent="0.55000000000000004">
      <c r="C140" s="22"/>
      <c r="F140" s="74"/>
      <c r="I140" s="74"/>
      <c r="L140" s="74"/>
      <c r="AD140" s="8"/>
      <c r="AE140" s="8"/>
      <c r="AF140" s="8"/>
      <c r="AG140" s="8"/>
      <c r="AH140" s="8"/>
      <c r="AI140" s="68"/>
      <c r="AJ140" s="68"/>
      <c r="AK140" s="68"/>
      <c r="AL140" s="68"/>
      <c r="AM140" s="68"/>
      <c r="AN140" s="68"/>
      <c r="AO140" s="68"/>
      <c r="AQ140" s="8"/>
      <c r="AR140" s="8"/>
    </row>
    <row r="141" spans="3:44" s="31" customFormat="1" x14ac:dyDescent="0.55000000000000004">
      <c r="C141" s="22"/>
      <c r="F141" s="74"/>
      <c r="I141" s="74"/>
      <c r="L141" s="74"/>
      <c r="AD141" s="8"/>
      <c r="AE141" s="8"/>
      <c r="AF141" s="8"/>
      <c r="AG141" s="8"/>
      <c r="AH141" s="8"/>
      <c r="AI141" s="68"/>
      <c r="AJ141" s="68"/>
      <c r="AK141" s="68"/>
      <c r="AL141" s="68"/>
      <c r="AM141" s="68"/>
      <c r="AN141" s="68"/>
      <c r="AO141" s="68"/>
      <c r="AQ141" s="8"/>
      <c r="AR141" s="8"/>
    </row>
    <row r="142" spans="3:44" s="31" customFormat="1" x14ac:dyDescent="0.55000000000000004">
      <c r="C142" s="22"/>
      <c r="F142" s="74"/>
      <c r="I142" s="74"/>
      <c r="L142" s="74"/>
      <c r="AD142" s="8"/>
      <c r="AE142" s="8"/>
      <c r="AF142" s="8"/>
      <c r="AG142" s="8"/>
      <c r="AH142" s="8"/>
      <c r="AI142" s="68"/>
      <c r="AJ142" s="68"/>
      <c r="AK142" s="68"/>
      <c r="AL142" s="68"/>
      <c r="AM142" s="68"/>
      <c r="AN142" s="68"/>
      <c r="AO142" s="68"/>
      <c r="AQ142" s="8"/>
      <c r="AR142" s="8"/>
    </row>
    <row r="143" spans="3:44" s="31" customFormat="1" x14ac:dyDescent="0.55000000000000004">
      <c r="C143" s="22"/>
      <c r="F143" s="74"/>
      <c r="I143" s="74"/>
      <c r="L143" s="74"/>
      <c r="AD143" s="8"/>
      <c r="AE143" s="8"/>
      <c r="AF143" s="8"/>
      <c r="AG143" s="8"/>
      <c r="AH143" s="8"/>
      <c r="AI143" s="68"/>
      <c r="AJ143" s="68"/>
      <c r="AK143" s="68"/>
      <c r="AL143" s="68"/>
      <c r="AM143" s="68"/>
      <c r="AN143" s="68"/>
      <c r="AO143" s="68"/>
      <c r="AQ143" s="8"/>
      <c r="AR143" s="8"/>
    </row>
    <row r="144" spans="3:44" s="31" customFormat="1" x14ac:dyDescent="0.55000000000000004">
      <c r="C144" s="22"/>
      <c r="F144" s="74"/>
      <c r="I144" s="74"/>
      <c r="L144" s="74"/>
      <c r="AD144" s="8"/>
      <c r="AE144" s="8"/>
      <c r="AF144" s="8"/>
      <c r="AG144" s="8"/>
      <c r="AH144" s="8"/>
      <c r="AI144" s="68"/>
      <c r="AJ144" s="68"/>
      <c r="AK144" s="68"/>
      <c r="AL144" s="68"/>
      <c r="AM144" s="68"/>
      <c r="AN144" s="68"/>
      <c r="AO144" s="68"/>
      <c r="AQ144" s="8"/>
      <c r="AR144" s="8"/>
    </row>
    <row r="145" spans="3:44" s="31" customFormat="1" x14ac:dyDescent="0.55000000000000004">
      <c r="C145" s="22"/>
      <c r="F145" s="74"/>
      <c r="I145" s="74"/>
      <c r="L145" s="74"/>
      <c r="AD145" s="8"/>
      <c r="AE145" s="8"/>
      <c r="AF145" s="8"/>
      <c r="AG145" s="8"/>
      <c r="AH145" s="8"/>
      <c r="AI145" s="68"/>
      <c r="AJ145" s="68"/>
      <c r="AK145" s="68"/>
      <c r="AL145" s="68"/>
      <c r="AM145" s="68"/>
      <c r="AN145" s="68"/>
      <c r="AO145" s="68"/>
      <c r="AQ145" s="8"/>
      <c r="AR145" s="8"/>
    </row>
    <row r="146" spans="3:44" s="31" customFormat="1" x14ac:dyDescent="0.55000000000000004">
      <c r="C146" s="22"/>
      <c r="F146" s="74"/>
      <c r="I146" s="74"/>
      <c r="L146" s="74"/>
      <c r="AD146" s="8"/>
      <c r="AE146" s="8"/>
      <c r="AF146" s="8"/>
      <c r="AG146" s="8"/>
      <c r="AH146" s="8"/>
      <c r="AI146" s="68"/>
      <c r="AJ146" s="68"/>
      <c r="AK146" s="68"/>
      <c r="AL146" s="68"/>
      <c r="AM146" s="68"/>
      <c r="AN146" s="68"/>
      <c r="AO146" s="68"/>
      <c r="AQ146" s="8"/>
      <c r="AR146" s="8"/>
    </row>
    <row r="147" spans="3:44" s="31" customFormat="1" x14ac:dyDescent="0.55000000000000004">
      <c r="C147" s="22"/>
      <c r="F147" s="74"/>
      <c r="I147" s="74"/>
      <c r="L147" s="74"/>
      <c r="AD147" s="8"/>
      <c r="AE147" s="8"/>
      <c r="AF147" s="8"/>
      <c r="AG147" s="8"/>
      <c r="AH147" s="8"/>
      <c r="AI147" s="68"/>
      <c r="AJ147" s="68"/>
      <c r="AK147" s="68"/>
      <c r="AL147" s="68"/>
      <c r="AM147" s="68"/>
      <c r="AN147" s="68"/>
      <c r="AO147" s="68"/>
      <c r="AQ147" s="8"/>
      <c r="AR147" s="8"/>
    </row>
    <row r="148" spans="3:44" s="31" customFormat="1" x14ac:dyDescent="0.55000000000000004">
      <c r="C148" s="22"/>
      <c r="F148" s="74"/>
      <c r="I148" s="74"/>
      <c r="L148" s="74"/>
      <c r="AD148" s="8"/>
      <c r="AE148" s="8"/>
      <c r="AF148" s="8"/>
      <c r="AG148" s="8"/>
      <c r="AH148" s="8"/>
      <c r="AI148" s="68"/>
      <c r="AJ148" s="68"/>
      <c r="AK148" s="68"/>
      <c r="AL148" s="68"/>
      <c r="AM148" s="68"/>
      <c r="AN148" s="68"/>
      <c r="AO148" s="68"/>
      <c r="AQ148" s="8"/>
      <c r="AR148" s="8"/>
    </row>
    <row r="149" spans="3:44" s="31" customFormat="1" x14ac:dyDescent="0.55000000000000004">
      <c r="C149" s="22"/>
      <c r="F149" s="74"/>
      <c r="I149" s="74"/>
      <c r="L149" s="74"/>
      <c r="AD149" s="8"/>
      <c r="AE149" s="8"/>
      <c r="AF149" s="8"/>
      <c r="AG149" s="8"/>
      <c r="AH149" s="8"/>
      <c r="AI149" s="68"/>
      <c r="AJ149" s="68"/>
      <c r="AK149" s="68"/>
      <c r="AL149" s="68"/>
      <c r="AM149" s="68"/>
      <c r="AN149" s="68"/>
      <c r="AO149" s="68"/>
      <c r="AQ149" s="8"/>
      <c r="AR149" s="8"/>
    </row>
    <row r="150" spans="3:44" s="31" customFormat="1" x14ac:dyDescent="0.55000000000000004">
      <c r="C150" s="22"/>
      <c r="F150" s="74"/>
      <c r="I150" s="74"/>
      <c r="L150" s="74"/>
      <c r="AD150" s="8"/>
      <c r="AE150" s="8"/>
      <c r="AF150" s="8"/>
      <c r="AG150" s="8"/>
      <c r="AH150" s="8"/>
      <c r="AI150" s="68"/>
      <c r="AJ150" s="68"/>
      <c r="AK150" s="68"/>
      <c r="AL150" s="68"/>
      <c r="AM150" s="68"/>
      <c r="AN150" s="68"/>
      <c r="AO150" s="68"/>
      <c r="AQ150" s="8"/>
      <c r="AR150" s="8"/>
    </row>
    <row r="151" spans="3:44" s="31" customFormat="1" x14ac:dyDescent="0.55000000000000004">
      <c r="C151" s="22"/>
      <c r="F151" s="74"/>
      <c r="I151" s="74"/>
      <c r="L151" s="74"/>
      <c r="AD151" s="8"/>
      <c r="AE151" s="8"/>
      <c r="AF151" s="8"/>
      <c r="AG151" s="8"/>
      <c r="AH151" s="8"/>
      <c r="AI151" s="68"/>
      <c r="AJ151" s="68"/>
      <c r="AK151" s="68"/>
      <c r="AL151" s="68"/>
      <c r="AM151" s="68"/>
      <c r="AN151" s="68"/>
      <c r="AO151" s="68"/>
      <c r="AQ151" s="8"/>
      <c r="AR151" s="8"/>
    </row>
    <row r="152" spans="3:44" s="31" customFormat="1" x14ac:dyDescent="0.55000000000000004">
      <c r="C152" s="22"/>
      <c r="F152" s="74"/>
      <c r="I152" s="74"/>
      <c r="L152" s="74"/>
      <c r="AD152" s="8"/>
      <c r="AE152" s="8"/>
      <c r="AF152" s="8"/>
      <c r="AG152" s="8"/>
      <c r="AH152" s="8"/>
      <c r="AI152" s="68"/>
      <c r="AJ152" s="68"/>
      <c r="AK152" s="68"/>
      <c r="AL152" s="68"/>
      <c r="AM152" s="68"/>
      <c r="AN152" s="68"/>
      <c r="AO152" s="68"/>
      <c r="AQ152" s="8"/>
      <c r="AR152" s="8"/>
    </row>
    <row r="153" spans="3:44" s="31" customFormat="1" x14ac:dyDescent="0.55000000000000004">
      <c r="C153" s="22"/>
      <c r="F153" s="74"/>
      <c r="I153" s="74"/>
      <c r="L153" s="74"/>
      <c r="AD153" s="8"/>
      <c r="AE153" s="8"/>
      <c r="AF153" s="8"/>
      <c r="AG153" s="8"/>
      <c r="AH153" s="8"/>
      <c r="AI153" s="68"/>
      <c r="AJ153" s="68"/>
      <c r="AK153" s="68"/>
      <c r="AL153" s="68"/>
      <c r="AM153" s="68"/>
      <c r="AN153" s="68"/>
      <c r="AO153" s="68"/>
      <c r="AQ153" s="8"/>
      <c r="AR153" s="8"/>
    </row>
    <row r="154" spans="3:44" s="31" customFormat="1" x14ac:dyDescent="0.55000000000000004">
      <c r="C154" s="22"/>
      <c r="F154" s="74"/>
      <c r="I154" s="74"/>
      <c r="L154" s="74"/>
      <c r="AD154" s="8"/>
      <c r="AE154" s="8"/>
      <c r="AF154" s="8"/>
      <c r="AG154" s="8"/>
      <c r="AH154" s="8"/>
      <c r="AI154" s="68"/>
      <c r="AJ154" s="68"/>
      <c r="AK154" s="68"/>
      <c r="AL154" s="68"/>
      <c r="AM154" s="68"/>
      <c r="AN154" s="68"/>
      <c r="AO154" s="68"/>
      <c r="AQ154" s="8"/>
      <c r="AR154" s="8"/>
    </row>
    <row r="155" spans="3:44" s="31" customFormat="1" x14ac:dyDescent="0.55000000000000004">
      <c r="C155" s="22"/>
      <c r="F155" s="74"/>
      <c r="I155" s="74"/>
      <c r="L155" s="74"/>
      <c r="AD155" s="8"/>
      <c r="AE155" s="8"/>
      <c r="AF155" s="8"/>
      <c r="AG155" s="8"/>
      <c r="AH155" s="8"/>
      <c r="AI155" s="68"/>
      <c r="AJ155" s="68"/>
      <c r="AK155" s="68"/>
      <c r="AL155" s="68"/>
      <c r="AM155" s="68"/>
      <c r="AN155" s="68"/>
      <c r="AO155" s="68"/>
      <c r="AQ155" s="8"/>
      <c r="AR155" s="8"/>
    </row>
    <row r="156" spans="3:44" s="31" customFormat="1" x14ac:dyDescent="0.55000000000000004">
      <c r="C156" s="22"/>
      <c r="F156" s="74"/>
      <c r="I156" s="74"/>
      <c r="L156" s="74"/>
      <c r="AD156" s="8"/>
      <c r="AE156" s="8"/>
      <c r="AF156" s="8"/>
      <c r="AG156" s="8"/>
      <c r="AH156" s="8"/>
      <c r="AI156" s="68"/>
      <c r="AJ156" s="68"/>
      <c r="AK156" s="68"/>
      <c r="AL156" s="68"/>
      <c r="AM156" s="68"/>
      <c r="AN156" s="68"/>
      <c r="AO156" s="68"/>
      <c r="AQ156" s="8"/>
      <c r="AR156" s="8"/>
    </row>
    <row r="157" spans="3:44" s="31" customFormat="1" x14ac:dyDescent="0.55000000000000004">
      <c r="C157" s="22"/>
      <c r="F157" s="74"/>
      <c r="I157" s="74"/>
      <c r="L157" s="74"/>
      <c r="AD157" s="8"/>
      <c r="AE157" s="8"/>
      <c r="AF157" s="8"/>
      <c r="AG157" s="8"/>
      <c r="AH157" s="8"/>
      <c r="AI157" s="68"/>
      <c r="AJ157" s="68"/>
      <c r="AK157" s="68"/>
      <c r="AL157" s="68"/>
      <c r="AM157" s="68"/>
      <c r="AN157" s="68"/>
      <c r="AO157" s="68"/>
      <c r="AQ157" s="8"/>
      <c r="AR157" s="8"/>
    </row>
    <row r="158" spans="3:44" s="31" customFormat="1" x14ac:dyDescent="0.55000000000000004">
      <c r="C158" s="22"/>
      <c r="F158" s="74"/>
      <c r="I158" s="74"/>
      <c r="L158" s="74"/>
      <c r="AD158" s="8"/>
      <c r="AE158" s="8"/>
      <c r="AF158" s="8"/>
      <c r="AG158" s="8"/>
      <c r="AH158" s="8"/>
      <c r="AI158" s="68"/>
      <c r="AJ158" s="68"/>
      <c r="AK158" s="68"/>
      <c r="AL158" s="68"/>
      <c r="AM158" s="68"/>
      <c r="AN158" s="68"/>
      <c r="AO158" s="68"/>
      <c r="AQ158" s="8"/>
      <c r="AR158" s="8"/>
    </row>
    <row r="159" spans="3:44" s="31" customFormat="1" x14ac:dyDescent="0.55000000000000004">
      <c r="C159" s="22"/>
      <c r="F159" s="74"/>
      <c r="I159" s="74"/>
      <c r="L159" s="74"/>
      <c r="AD159" s="8"/>
      <c r="AE159" s="8"/>
      <c r="AF159" s="8"/>
      <c r="AG159" s="8"/>
      <c r="AH159" s="8"/>
      <c r="AI159" s="68"/>
      <c r="AJ159" s="68"/>
      <c r="AK159" s="68"/>
      <c r="AL159" s="68"/>
      <c r="AM159" s="68"/>
      <c r="AN159" s="68"/>
      <c r="AO159" s="68"/>
      <c r="AQ159" s="8"/>
      <c r="AR159" s="8"/>
    </row>
    <row r="160" spans="3:44" s="31" customFormat="1" x14ac:dyDescent="0.55000000000000004">
      <c r="C160" s="22"/>
      <c r="F160" s="74"/>
      <c r="I160" s="74"/>
      <c r="L160" s="74"/>
      <c r="AD160" s="8"/>
      <c r="AE160" s="8"/>
      <c r="AF160" s="8"/>
      <c r="AG160" s="8"/>
      <c r="AH160" s="8"/>
      <c r="AI160" s="68"/>
      <c r="AJ160" s="68"/>
      <c r="AK160" s="68"/>
      <c r="AL160" s="68"/>
      <c r="AM160" s="68"/>
      <c r="AN160" s="68"/>
      <c r="AO160" s="68"/>
      <c r="AQ160" s="8"/>
      <c r="AR160" s="8"/>
    </row>
    <row r="161" spans="3:44" s="31" customFormat="1" x14ac:dyDescent="0.55000000000000004">
      <c r="C161" s="22"/>
      <c r="F161" s="74"/>
      <c r="I161" s="74"/>
      <c r="L161" s="74"/>
      <c r="AD161" s="8"/>
      <c r="AE161" s="8"/>
      <c r="AF161" s="8"/>
      <c r="AG161" s="8"/>
      <c r="AH161" s="8"/>
      <c r="AI161" s="68"/>
      <c r="AJ161" s="68"/>
      <c r="AK161" s="68"/>
      <c r="AL161" s="68"/>
      <c r="AM161" s="68"/>
      <c r="AN161" s="68"/>
      <c r="AO161" s="68"/>
      <c r="AQ161" s="8"/>
      <c r="AR161" s="8"/>
    </row>
    <row r="162" spans="3:44" s="31" customFormat="1" x14ac:dyDescent="0.55000000000000004">
      <c r="C162" s="22"/>
      <c r="F162" s="74"/>
      <c r="I162" s="74"/>
      <c r="L162" s="74"/>
      <c r="AD162" s="8"/>
      <c r="AE162" s="8"/>
      <c r="AF162" s="8"/>
      <c r="AG162" s="8"/>
      <c r="AH162" s="8"/>
      <c r="AI162" s="68"/>
      <c r="AJ162" s="68"/>
      <c r="AK162" s="68"/>
      <c r="AL162" s="68"/>
      <c r="AM162" s="68"/>
      <c r="AN162" s="68"/>
      <c r="AO162" s="68"/>
      <c r="AQ162" s="8"/>
      <c r="AR162" s="8"/>
    </row>
    <row r="163" spans="3:44" s="31" customFormat="1" x14ac:dyDescent="0.55000000000000004">
      <c r="C163" s="22"/>
      <c r="F163" s="74"/>
      <c r="I163" s="74"/>
      <c r="L163" s="74"/>
      <c r="AD163" s="8"/>
      <c r="AE163" s="8"/>
      <c r="AF163" s="8"/>
      <c r="AG163" s="8"/>
      <c r="AH163" s="8"/>
      <c r="AI163" s="68"/>
      <c r="AJ163" s="68"/>
      <c r="AK163" s="68"/>
      <c r="AL163" s="68"/>
      <c r="AM163" s="68"/>
      <c r="AN163" s="68"/>
      <c r="AO163" s="68"/>
      <c r="AQ163" s="8"/>
      <c r="AR163" s="8"/>
    </row>
    <row r="164" spans="3:44" s="31" customFormat="1" x14ac:dyDescent="0.55000000000000004">
      <c r="C164" s="22"/>
      <c r="F164" s="74"/>
      <c r="I164" s="74"/>
      <c r="L164" s="74"/>
      <c r="AD164" s="8"/>
      <c r="AE164" s="8"/>
      <c r="AF164" s="8"/>
      <c r="AG164" s="8"/>
      <c r="AH164" s="8"/>
      <c r="AI164" s="68"/>
      <c r="AJ164" s="68"/>
      <c r="AK164" s="68"/>
      <c r="AL164" s="68"/>
      <c r="AM164" s="68"/>
      <c r="AN164" s="68"/>
      <c r="AO164" s="68"/>
      <c r="AQ164" s="8"/>
      <c r="AR164" s="8"/>
    </row>
    <row r="165" spans="3:44" s="31" customFormat="1" x14ac:dyDescent="0.55000000000000004">
      <c r="C165" s="22"/>
      <c r="F165" s="74"/>
      <c r="I165" s="74"/>
      <c r="L165" s="74"/>
      <c r="AD165" s="8"/>
      <c r="AE165" s="8"/>
      <c r="AF165" s="8"/>
      <c r="AG165" s="8"/>
      <c r="AH165" s="8"/>
      <c r="AI165" s="68"/>
      <c r="AJ165" s="68"/>
      <c r="AK165" s="68"/>
      <c r="AL165" s="68"/>
      <c r="AM165" s="68"/>
      <c r="AN165" s="68"/>
      <c r="AO165" s="68"/>
      <c r="AQ165" s="8"/>
      <c r="AR165" s="8"/>
    </row>
    <row r="166" spans="3:44" s="31" customFormat="1" x14ac:dyDescent="0.55000000000000004">
      <c r="C166" s="22"/>
      <c r="F166" s="74"/>
      <c r="I166" s="74"/>
      <c r="L166" s="74"/>
      <c r="AD166" s="8"/>
      <c r="AE166" s="8"/>
      <c r="AF166" s="8"/>
      <c r="AG166" s="8"/>
      <c r="AH166" s="8"/>
      <c r="AI166" s="68"/>
      <c r="AJ166" s="68"/>
      <c r="AK166" s="68"/>
      <c r="AL166" s="68"/>
      <c r="AM166" s="68"/>
      <c r="AN166" s="68"/>
      <c r="AO166" s="68"/>
      <c r="AQ166" s="8"/>
      <c r="AR166" s="8"/>
    </row>
    <row r="167" spans="3:44" s="31" customFormat="1" x14ac:dyDescent="0.55000000000000004">
      <c r="C167" s="22"/>
      <c r="F167" s="74"/>
      <c r="I167" s="74"/>
      <c r="L167" s="74"/>
      <c r="AD167" s="8"/>
      <c r="AE167" s="8"/>
      <c r="AF167" s="8"/>
      <c r="AG167" s="8"/>
      <c r="AH167" s="8"/>
      <c r="AI167" s="68"/>
      <c r="AJ167" s="68"/>
      <c r="AK167" s="68"/>
      <c r="AL167" s="68"/>
      <c r="AM167" s="68"/>
      <c r="AN167" s="68"/>
      <c r="AO167" s="68"/>
      <c r="AQ167" s="8"/>
      <c r="AR167" s="8"/>
    </row>
    <row r="168" spans="3:44" s="31" customFormat="1" x14ac:dyDescent="0.55000000000000004">
      <c r="C168" s="22"/>
      <c r="F168" s="74"/>
      <c r="I168" s="74"/>
      <c r="L168" s="74"/>
      <c r="AD168" s="8"/>
      <c r="AE168" s="8"/>
      <c r="AF168" s="8"/>
      <c r="AG168" s="8"/>
      <c r="AH168" s="8"/>
      <c r="AI168" s="68"/>
      <c r="AJ168" s="68"/>
      <c r="AK168" s="68"/>
      <c r="AL168" s="68"/>
      <c r="AM168" s="68"/>
      <c r="AN168" s="68"/>
      <c r="AO168" s="68"/>
      <c r="AQ168" s="8"/>
      <c r="AR168" s="8"/>
    </row>
    <row r="169" spans="3:44" s="31" customFormat="1" x14ac:dyDescent="0.55000000000000004">
      <c r="C169" s="22"/>
      <c r="F169" s="74"/>
      <c r="I169" s="74"/>
      <c r="L169" s="74"/>
      <c r="AD169" s="8"/>
      <c r="AE169" s="8"/>
      <c r="AF169" s="8"/>
      <c r="AG169" s="8"/>
      <c r="AH169" s="8"/>
      <c r="AI169" s="68"/>
      <c r="AJ169" s="68"/>
      <c r="AK169" s="68"/>
      <c r="AL169" s="68"/>
      <c r="AM169" s="68"/>
      <c r="AN169" s="68"/>
      <c r="AO169" s="68"/>
      <c r="AQ169" s="8"/>
      <c r="AR169" s="8"/>
    </row>
    <row r="170" spans="3:44" s="31" customFormat="1" x14ac:dyDescent="0.55000000000000004">
      <c r="C170" s="22"/>
      <c r="F170" s="74"/>
      <c r="I170" s="74"/>
      <c r="L170" s="74"/>
      <c r="AD170" s="8"/>
      <c r="AE170" s="8"/>
      <c r="AF170" s="8"/>
      <c r="AG170" s="8"/>
      <c r="AH170" s="8"/>
      <c r="AI170" s="68"/>
      <c r="AJ170" s="68"/>
      <c r="AK170" s="68"/>
      <c r="AL170" s="68"/>
      <c r="AM170" s="68"/>
      <c r="AN170" s="68"/>
      <c r="AO170" s="68"/>
      <c r="AQ170" s="8"/>
      <c r="AR170" s="8"/>
    </row>
    <row r="171" spans="3:44" s="31" customFormat="1" x14ac:dyDescent="0.55000000000000004">
      <c r="C171" s="22"/>
      <c r="F171" s="74"/>
      <c r="I171" s="74"/>
      <c r="L171" s="74"/>
      <c r="AD171" s="8"/>
      <c r="AE171" s="8"/>
      <c r="AF171" s="8"/>
      <c r="AG171" s="8"/>
      <c r="AH171" s="8"/>
      <c r="AI171" s="68"/>
      <c r="AJ171" s="68"/>
      <c r="AK171" s="68"/>
      <c r="AL171" s="68"/>
      <c r="AM171" s="68"/>
      <c r="AN171" s="68"/>
      <c r="AO171" s="68"/>
      <c r="AQ171" s="8"/>
      <c r="AR171" s="8"/>
    </row>
    <row r="172" spans="3:44" s="31" customFormat="1" x14ac:dyDescent="0.55000000000000004">
      <c r="C172" s="22"/>
      <c r="F172" s="74"/>
      <c r="I172" s="74"/>
      <c r="L172" s="74"/>
      <c r="AD172" s="8"/>
      <c r="AE172" s="8"/>
      <c r="AF172" s="8"/>
      <c r="AG172" s="8"/>
      <c r="AH172" s="8"/>
      <c r="AI172" s="68"/>
      <c r="AJ172" s="68"/>
      <c r="AK172" s="68"/>
      <c r="AL172" s="68"/>
      <c r="AM172" s="68"/>
      <c r="AN172" s="68"/>
      <c r="AO172" s="68"/>
      <c r="AQ172" s="8"/>
      <c r="AR172" s="8"/>
    </row>
    <row r="173" spans="3:44" s="31" customFormat="1" x14ac:dyDescent="0.55000000000000004">
      <c r="C173" s="22"/>
      <c r="F173" s="74"/>
      <c r="I173" s="74"/>
      <c r="L173" s="74"/>
      <c r="AD173" s="8"/>
      <c r="AE173" s="8"/>
      <c r="AF173" s="8"/>
      <c r="AG173" s="8"/>
      <c r="AH173" s="8"/>
      <c r="AI173" s="68"/>
      <c r="AJ173" s="68"/>
      <c r="AK173" s="68"/>
      <c r="AL173" s="68"/>
      <c r="AM173" s="68"/>
      <c r="AN173" s="68"/>
      <c r="AO173" s="68"/>
      <c r="AQ173" s="8"/>
      <c r="AR173" s="8"/>
    </row>
    <row r="174" spans="3:44" s="31" customFormat="1" x14ac:dyDescent="0.55000000000000004">
      <c r="C174" s="22"/>
      <c r="F174" s="74"/>
      <c r="I174" s="74"/>
      <c r="L174" s="74"/>
      <c r="AD174" s="8"/>
      <c r="AE174" s="8"/>
      <c r="AF174" s="8"/>
      <c r="AG174" s="8"/>
      <c r="AH174" s="8"/>
      <c r="AI174" s="68"/>
      <c r="AJ174" s="68"/>
      <c r="AK174" s="68"/>
      <c r="AL174" s="68"/>
      <c r="AM174" s="68"/>
      <c r="AN174" s="68"/>
      <c r="AO174" s="68"/>
      <c r="AQ174" s="8"/>
      <c r="AR174" s="8"/>
    </row>
    <row r="175" spans="3:44" s="31" customFormat="1" x14ac:dyDescent="0.55000000000000004">
      <c r="C175" s="22"/>
      <c r="F175" s="74"/>
      <c r="I175" s="74"/>
      <c r="L175" s="74"/>
      <c r="AD175" s="8"/>
      <c r="AE175" s="8"/>
      <c r="AF175" s="8"/>
      <c r="AG175" s="8"/>
      <c r="AH175" s="8"/>
      <c r="AI175" s="68"/>
      <c r="AJ175" s="68"/>
      <c r="AK175" s="68"/>
      <c r="AL175" s="68"/>
      <c r="AM175" s="68"/>
      <c r="AN175" s="68"/>
      <c r="AO175" s="68"/>
      <c r="AQ175" s="8"/>
      <c r="AR175" s="8"/>
    </row>
    <row r="176" spans="3:44" s="31" customFormat="1" x14ac:dyDescent="0.55000000000000004">
      <c r="C176" s="22"/>
      <c r="F176" s="74"/>
      <c r="I176" s="74"/>
      <c r="L176" s="74"/>
      <c r="AD176" s="8"/>
      <c r="AE176" s="8"/>
      <c r="AF176" s="8"/>
      <c r="AG176" s="8"/>
      <c r="AH176" s="8"/>
      <c r="AI176" s="68"/>
      <c r="AJ176" s="68"/>
      <c r="AK176" s="68"/>
      <c r="AL176" s="68"/>
      <c r="AM176" s="68"/>
      <c r="AN176" s="68"/>
      <c r="AO176" s="68"/>
      <c r="AQ176" s="8"/>
      <c r="AR176" s="8"/>
    </row>
    <row r="177" spans="3:44" s="31" customFormat="1" x14ac:dyDescent="0.55000000000000004">
      <c r="C177" s="22"/>
      <c r="F177" s="74"/>
      <c r="I177" s="74"/>
      <c r="L177" s="74"/>
      <c r="AD177" s="8"/>
      <c r="AE177" s="8"/>
      <c r="AF177" s="8"/>
      <c r="AG177" s="8"/>
      <c r="AH177" s="8"/>
      <c r="AI177" s="68"/>
      <c r="AJ177" s="68"/>
      <c r="AK177" s="68"/>
      <c r="AL177" s="68"/>
      <c r="AM177" s="68"/>
      <c r="AN177" s="68"/>
      <c r="AO177" s="68"/>
      <c r="AQ177" s="8"/>
      <c r="AR177" s="8"/>
    </row>
    <row r="178" spans="3:44" s="31" customFormat="1" x14ac:dyDescent="0.55000000000000004">
      <c r="C178" s="22"/>
      <c r="F178" s="74"/>
      <c r="I178" s="74"/>
      <c r="L178" s="74"/>
      <c r="AD178" s="8"/>
      <c r="AE178" s="8"/>
      <c r="AF178" s="8"/>
      <c r="AG178" s="8"/>
      <c r="AH178" s="8"/>
      <c r="AI178" s="68"/>
      <c r="AJ178" s="68"/>
      <c r="AK178" s="68"/>
      <c r="AL178" s="68"/>
      <c r="AM178" s="68"/>
      <c r="AN178" s="68"/>
      <c r="AO178" s="68"/>
      <c r="AQ178" s="8"/>
      <c r="AR178" s="8"/>
    </row>
    <row r="179" spans="3:44" s="31" customFormat="1" x14ac:dyDescent="0.55000000000000004">
      <c r="C179" s="22"/>
      <c r="F179" s="74"/>
      <c r="I179" s="74"/>
      <c r="L179" s="74"/>
      <c r="AD179" s="8"/>
      <c r="AE179" s="8"/>
      <c r="AF179" s="8"/>
      <c r="AG179" s="8"/>
      <c r="AH179" s="8"/>
      <c r="AI179" s="68"/>
      <c r="AJ179" s="68"/>
      <c r="AK179" s="68"/>
      <c r="AL179" s="68"/>
      <c r="AM179" s="68"/>
      <c r="AN179" s="68"/>
      <c r="AO179" s="68"/>
      <c r="AQ179" s="8"/>
      <c r="AR179" s="8"/>
    </row>
    <row r="180" spans="3:44" s="31" customFormat="1" x14ac:dyDescent="0.55000000000000004">
      <c r="C180" s="22"/>
      <c r="F180" s="74"/>
      <c r="I180" s="74"/>
      <c r="L180" s="74"/>
      <c r="AD180" s="8"/>
      <c r="AE180" s="8"/>
      <c r="AF180" s="8"/>
      <c r="AG180" s="8"/>
      <c r="AH180" s="8"/>
      <c r="AI180" s="68"/>
      <c r="AJ180" s="68"/>
      <c r="AK180" s="68"/>
      <c r="AL180" s="68"/>
      <c r="AM180" s="68"/>
      <c r="AN180" s="68"/>
      <c r="AO180" s="68"/>
      <c r="AQ180" s="8"/>
      <c r="AR180" s="8"/>
    </row>
    <row r="181" spans="3:44" s="31" customFormat="1" x14ac:dyDescent="0.55000000000000004">
      <c r="C181" s="22"/>
      <c r="F181" s="74"/>
      <c r="I181" s="74"/>
      <c r="L181" s="74"/>
      <c r="AD181" s="8"/>
      <c r="AE181" s="8"/>
      <c r="AF181" s="8"/>
      <c r="AG181" s="8"/>
      <c r="AH181" s="8"/>
      <c r="AI181" s="68"/>
      <c r="AJ181" s="68"/>
      <c r="AK181" s="68"/>
      <c r="AL181" s="68"/>
      <c r="AM181" s="68"/>
      <c r="AN181" s="68"/>
      <c r="AO181" s="68"/>
      <c r="AQ181" s="8"/>
      <c r="AR181" s="8"/>
    </row>
    <row r="182" spans="3:44" s="31" customFormat="1" x14ac:dyDescent="0.55000000000000004">
      <c r="C182" s="22"/>
      <c r="F182" s="74"/>
      <c r="I182" s="74"/>
      <c r="L182" s="74"/>
      <c r="AD182" s="8"/>
      <c r="AE182" s="8"/>
      <c r="AF182" s="8"/>
      <c r="AG182" s="8"/>
      <c r="AH182" s="8"/>
      <c r="AI182" s="68"/>
      <c r="AJ182" s="68"/>
      <c r="AK182" s="68"/>
      <c r="AL182" s="68"/>
      <c r="AM182" s="68"/>
      <c r="AN182" s="68"/>
      <c r="AO182" s="68"/>
      <c r="AQ182" s="8"/>
      <c r="AR182" s="8"/>
    </row>
    <row r="183" spans="3:44" s="31" customFormat="1" x14ac:dyDescent="0.55000000000000004">
      <c r="C183" s="22"/>
      <c r="F183" s="74"/>
      <c r="I183" s="74"/>
      <c r="L183" s="74"/>
      <c r="AD183" s="8"/>
      <c r="AE183" s="8"/>
      <c r="AF183" s="8"/>
      <c r="AG183" s="8"/>
      <c r="AH183" s="8"/>
      <c r="AI183" s="68"/>
      <c r="AJ183" s="68"/>
      <c r="AK183" s="68"/>
      <c r="AL183" s="68"/>
      <c r="AM183" s="68"/>
      <c r="AN183" s="68"/>
      <c r="AO183" s="68"/>
      <c r="AQ183" s="8"/>
      <c r="AR183" s="8"/>
    </row>
    <row r="184" spans="3:44" s="31" customFormat="1" x14ac:dyDescent="0.55000000000000004">
      <c r="C184" s="22"/>
      <c r="F184" s="74"/>
      <c r="I184" s="74"/>
      <c r="L184" s="74"/>
      <c r="AD184" s="8"/>
      <c r="AE184" s="8"/>
      <c r="AF184" s="8"/>
      <c r="AG184" s="8"/>
      <c r="AH184" s="8"/>
      <c r="AI184" s="68"/>
      <c r="AJ184" s="68"/>
      <c r="AK184" s="68"/>
      <c r="AL184" s="68"/>
      <c r="AM184" s="68"/>
      <c r="AN184" s="68"/>
      <c r="AO184" s="68"/>
      <c r="AQ184" s="8"/>
      <c r="AR184" s="8"/>
    </row>
    <row r="185" spans="3:44" s="31" customFormat="1" x14ac:dyDescent="0.55000000000000004">
      <c r="C185" s="22"/>
      <c r="F185" s="74"/>
      <c r="I185" s="74"/>
      <c r="L185" s="74"/>
      <c r="AD185" s="8"/>
      <c r="AE185" s="8"/>
      <c r="AF185" s="8"/>
      <c r="AG185" s="8"/>
      <c r="AH185" s="8"/>
      <c r="AI185" s="68"/>
      <c r="AJ185" s="68"/>
      <c r="AK185" s="68"/>
      <c r="AL185" s="68"/>
      <c r="AM185" s="68"/>
      <c r="AN185" s="68"/>
      <c r="AO185" s="68"/>
      <c r="AQ185" s="8"/>
      <c r="AR185" s="8"/>
    </row>
    <row r="186" spans="3:44" s="31" customFormat="1" x14ac:dyDescent="0.55000000000000004">
      <c r="C186" s="22"/>
      <c r="F186" s="74"/>
      <c r="I186" s="74"/>
      <c r="L186" s="74"/>
      <c r="AD186" s="8"/>
      <c r="AE186" s="8"/>
      <c r="AF186" s="8"/>
      <c r="AG186" s="8"/>
      <c r="AH186" s="8"/>
      <c r="AI186" s="68"/>
      <c r="AJ186" s="68"/>
      <c r="AK186" s="68"/>
      <c r="AL186" s="68"/>
      <c r="AM186" s="68"/>
      <c r="AN186" s="68"/>
      <c r="AO186" s="68"/>
      <c r="AQ186" s="8"/>
      <c r="AR186" s="8"/>
    </row>
    <row r="187" spans="3:44" s="31" customFormat="1" x14ac:dyDescent="0.55000000000000004">
      <c r="C187" s="22"/>
      <c r="F187" s="74"/>
      <c r="I187" s="74"/>
      <c r="L187" s="74"/>
      <c r="AD187" s="8"/>
      <c r="AE187" s="8"/>
      <c r="AF187" s="8"/>
      <c r="AG187" s="8"/>
      <c r="AH187" s="8"/>
      <c r="AI187" s="68"/>
      <c r="AJ187" s="68"/>
      <c r="AK187" s="68"/>
      <c r="AL187" s="68"/>
      <c r="AM187" s="68"/>
      <c r="AN187" s="68"/>
      <c r="AO187" s="68"/>
      <c r="AQ187" s="8"/>
      <c r="AR187" s="8"/>
    </row>
    <row r="188" spans="3:44" s="31" customFormat="1" x14ac:dyDescent="0.55000000000000004">
      <c r="C188" s="22"/>
      <c r="F188" s="74"/>
      <c r="I188" s="74"/>
      <c r="L188" s="74"/>
      <c r="AD188" s="8"/>
      <c r="AE188" s="8"/>
      <c r="AF188" s="8"/>
      <c r="AG188" s="8"/>
      <c r="AH188" s="8"/>
      <c r="AI188" s="68"/>
      <c r="AJ188" s="68"/>
      <c r="AK188" s="68"/>
      <c r="AL188" s="68"/>
      <c r="AM188" s="68"/>
      <c r="AN188" s="68"/>
      <c r="AO188" s="68"/>
      <c r="AQ188" s="8"/>
      <c r="AR188" s="8"/>
    </row>
    <row r="189" spans="3:44" s="31" customFormat="1" x14ac:dyDescent="0.55000000000000004">
      <c r="C189" s="22"/>
      <c r="F189" s="74"/>
      <c r="I189" s="74"/>
      <c r="L189" s="74"/>
      <c r="AD189" s="8"/>
      <c r="AE189" s="8"/>
      <c r="AF189" s="8"/>
      <c r="AG189" s="8"/>
      <c r="AH189" s="8"/>
      <c r="AI189" s="68"/>
      <c r="AJ189" s="68"/>
      <c r="AK189" s="68"/>
      <c r="AL189" s="68"/>
      <c r="AM189" s="68"/>
      <c r="AN189" s="68"/>
      <c r="AO189" s="68"/>
      <c r="AQ189" s="8"/>
      <c r="AR189" s="8"/>
    </row>
    <row r="190" spans="3:44" s="31" customFormat="1" x14ac:dyDescent="0.55000000000000004">
      <c r="C190" s="22"/>
      <c r="F190" s="74"/>
      <c r="I190" s="74"/>
      <c r="L190" s="74"/>
      <c r="AD190" s="8"/>
      <c r="AE190" s="8"/>
      <c r="AF190" s="8"/>
      <c r="AG190" s="8"/>
      <c r="AH190" s="8"/>
      <c r="AI190" s="68"/>
      <c r="AJ190" s="68"/>
      <c r="AK190" s="68"/>
      <c r="AL190" s="68"/>
      <c r="AM190" s="68"/>
      <c r="AN190" s="68"/>
      <c r="AO190" s="68"/>
      <c r="AQ190" s="8"/>
      <c r="AR190" s="8"/>
    </row>
    <row r="191" spans="3:44" s="31" customFormat="1" x14ac:dyDescent="0.55000000000000004">
      <c r="C191" s="22"/>
      <c r="F191" s="74"/>
      <c r="I191" s="74"/>
      <c r="L191" s="74"/>
      <c r="AD191" s="8"/>
      <c r="AE191" s="8"/>
      <c r="AF191" s="8"/>
      <c r="AG191" s="8"/>
      <c r="AH191" s="8"/>
      <c r="AI191" s="68"/>
      <c r="AJ191" s="68"/>
      <c r="AK191" s="68"/>
      <c r="AL191" s="68"/>
      <c r="AM191" s="68"/>
      <c r="AN191" s="68"/>
      <c r="AO191" s="68"/>
      <c r="AQ191" s="8"/>
      <c r="AR191" s="8"/>
    </row>
    <row r="192" spans="3:44" s="31" customFormat="1" x14ac:dyDescent="0.55000000000000004">
      <c r="C192" s="22"/>
      <c r="F192" s="74"/>
      <c r="I192" s="74"/>
      <c r="L192" s="74"/>
      <c r="AD192" s="8"/>
      <c r="AE192" s="8"/>
      <c r="AF192" s="8"/>
      <c r="AG192" s="8"/>
      <c r="AH192" s="8"/>
      <c r="AI192" s="68"/>
      <c r="AJ192" s="68"/>
      <c r="AK192" s="68"/>
      <c r="AL192" s="68"/>
      <c r="AM192" s="68"/>
      <c r="AN192" s="68"/>
      <c r="AO192" s="68"/>
      <c r="AQ192" s="8"/>
      <c r="AR192" s="8"/>
    </row>
    <row r="193" spans="3:44" s="31" customFormat="1" x14ac:dyDescent="0.55000000000000004">
      <c r="C193" s="22"/>
      <c r="F193" s="74"/>
      <c r="I193" s="74"/>
      <c r="L193" s="74"/>
      <c r="AD193" s="8"/>
      <c r="AE193" s="8"/>
      <c r="AF193" s="8"/>
      <c r="AG193" s="8"/>
      <c r="AH193" s="8"/>
      <c r="AI193" s="68"/>
      <c r="AJ193" s="68"/>
      <c r="AK193" s="68"/>
      <c r="AL193" s="68"/>
      <c r="AM193" s="68"/>
      <c r="AN193" s="68"/>
      <c r="AO193" s="68"/>
      <c r="AQ193" s="8"/>
      <c r="AR193" s="8"/>
    </row>
    <row r="194" spans="3:44" s="31" customFormat="1" x14ac:dyDescent="0.55000000000000004">
      <c r="C194" s="22"/>
      <c r="F194" s="74"/>
      <c r="I194" s="74"/>
      <c r="L194" s="74"/>
      <c r="AD194" s="8"/>
      <c r="AE194" s="8"/>
      <c r="AF194" s="8"/>
      <c r="AG194" s="8"/>
      <c r="AH194" s="8"/>
      <c r="AI194" s="68"/>
      <c r="AJ194" s="68"/>
      <c r="AK194" s="68"/>
      <c r="AL194" s="68"/>
      <c r="AM194" s="68"/>
      <c r="AN194" s="68"/>
      <c r="AO194" s="68"/>
      <c r="AQ194" s="8"/>
      <c r="AR194" s="8"/>
    </row>
    <row r="195" spans="3:44" s="31" customFormat="1" x14ac:dyDescent="0.55000000000000004">
      <c r="C195" s="22"/>
      <c r="F195" s="74"/>
      <c r="I195" s="74"/>
      <c r="L195" s="74"/>
      <c r="AD195" s="8"/>
      <c r="AE195" s="8"/>
      <c r="AF195" s="8"/>
      <c r="AG195" s="8"/>
      <c r="AH195" s="8"/>
      <c r="AI195" s="68"/>
      <c r="AJ195" s="68"/>
      <c r="AK195" s="68"/>
      <c r="AL195" s="68"/>
      <c r="AM195" s="68"/>
      <c r="AN195" s="68"/>
      <c r="AO195" s="68"/>
      <c r="AQ195" s="8"/>
      <c r="AR195" s="8"/>
    </row>
    <row r="196" spans="3:44" s="31" customFormat="1" x14ac:dyDescent="0.55000000000000004">
      <c r="C196" s="22"/>
      <c r="F196" s="74"/>
      <c r="I196" s="74"/>
      <c r="L196" s="74"/>
      <c r="AD196" s="8"/>
      <c r="AE196" s="8"/>
      <c r="AF196" s="8"/>
      <c r="AG196" s="8"/>
      <c r="AH196" s="8"/>
      <c r="AI196" s="68"/>
      <c r="AJ196" s="68"/>
      <c r="AK196" s="68"/>
      <c r="AL196" s="68"/>
      <c r="AM196" s="68"/>
      <c r="AN196" s="68"/>
      <c r="AO196" s="68"/>
      <c r="AQ196" s="8"/>
      <c r="AR196" s="8"/>
    </row>
    <row r="197" spans="3:44" s="31" customFormat="1" x14ac:dyDescent="0.55000000000000004">
      <c r="C197" s="22"/>
      <c r="F197" s="74"/>
      <c r="I197" s="74"/>
      <c r="L197" s="74"/>
      <c r="AD197" s="8"/>
      <c r="AE197" s="8"/>
      <c r="AF197" s="8"/>
      <c r="AG197" s="8"/>
      <c r="AH197" s="8"/>
      <c r="AI197" s="68"/>
      <c r="AJ197" s="68"/>
      <c r="AK197" s="68"/>
      <c r="AL197" s="68"/>
      <c r="AM197" s="68"/>
      <c r="AN197" s="68"/>
      <c r="AO197" s="68"/>
      <c r="AQ197" s="8"/>
      <c r="AR197" s="8"/>
    </row>
    <row r="198" spans="3:44" s="31" customFormat="1" x14ac:dyDescent="0.55000000000000004">
      <c r="C198" s="22"/>
      <c r="F198" s="74"/>
      <c r="I198" s="74"/>
      <c r="L198" s="74"/>
      <c r="AD198" s="8"/>
      <c r="AE198" s="8"/>
      <c r="AF198" s="8"/>
      <c r="AG198" s="8"/>
      <c r="AH198" s="8"/>
      <c r="AI198" s="68"/>
      <c r="AJ198" s="68"/>
      <c r="AK198" s="68"/>
      <c r="AL198" s="68"/>
      <c r="AM198" s="68"/>
      <c r="AN198" s="68"/>
      <c r="AO198" s="68"/>
      <c r="AQ198" s="8"/>
      <c r="AR198" s="8"/>
    </row>
    <row r="199" spans="3:44" s="31" customFormat="1" x14ac:dyDescent="0.55000000000000004">
      <c r="C199" s="22"/>
      <c r="F199" s="74"/>
      <c r="I199" s="74"/>
      <c r="L199" s="74"/>
      <c r="AD199" s="8"/>
      <c r="AE199" s="8"/>
      <c r="AF199" s="8"/>
      <c r="AG199" s="8"/>
      <c r="AH199" s="8"/>
      <c r="AI199" s="68"/>
      <c r="AJ199" s="68"/>
      <c r="AK199" s="68"/>
      <c r="AL199" s="68"/>
      <c r="AM199" s="68"/>
      <c r="AN199" s="68"/>
      <c r="AO199" s="68"/>
      <c r="AQ199" s="8"/>
      <c r="AR199" s="8"/>
    </row>
    <row r="200" spans="3:44" s="31" customFormat="1" x14ac:dyDescent="0.55000000000000004">
      <c r="C200" s="22"/>
      <c r="F200" s="74"/>
      <c r="I200" s="74"/>
      <c r="L200" s="74"/>
      <c r="AD200" s="8"/>
      <c r="AE200" s="8"/>
      <c r="AF200" s="8"/>
      <c r="AG200" s="8"/>
      <c r="AH200" s="8"/>
      <c r="AI200" s="68"/>
      <c r="AJ200" s="68"/>
      <c r="AK200" s="68"/>
      <c r="AL200" s="68"/>
      <c r="AM200" s="68"/>
      <c r="AN200" s="68"/>
      <c r="AO200" s="68"/>
      <c r="AQ200" s="8"/>
      <c r="AR200" s="8"/>
    </row>
    <row r="201" spans="3:44" s="31" customFormat="1" x14ac:dyDescent="0.55000000000000004">
      <c r="C201" s="22"/>
      <c r="F201" s="74"/>
      <c r="I201" s="74"/>
      <c r="L201" s="74"/>
      <c r="AD201" s="8"/>
      <c r="AE201" s="8"/>
      <c r="AF201" s="8"/>
      <c r="AG201" s="8"/>
      <c r="AH201" s="8"/>
      <c r="AI201" s="68"/>
      <c r="AJ201" s="68"/>
      <c r="AK201" s="68"/>
      <c r="AL201" s="68"/>
      <c r="AM201" s="68"/>
      <c r="AN201" s="68"/>
      <c r="AO201" s="68"/>
      <c r="AQ201" s="8"/>
      <c r="AR201" s="8"/>
    </row>
    <row r="202" spans="3:44" s="31" customFormat="1" x14ac:dyDescent="0.55000000000000004">
      <c r="C202" s="22"/>
      <c r="F202" s="74"/>
      <c r="I202" s="74"/>
      <c r="L202" s="74"/>
      <c r="AD202" s="8"/>
      <c r="AE202" s="8"/>
      <c r="AF202" s="8"/>
      <c r="AG202" s="8"/>
      <c r="AH202" s="8"/>
      <c r="AI202" s="68"/>
      <c r="AJ202" s="68"/>
      <c r="AK202" s="68"/>
      <c r="AL202" s="68"/>
      <c r="AM202" s="68"/>
      <c r="AN202" s="68"/>
      <c r="AO202" s="68"/>
      <c r="AQ202" s="8"/>
      <c r="AR202" s="8"/>
    </row>
    <row r="203" spans="3:44" s="31" customFormat="1" x14ac:dyDescent="0.55000000000000004">
      <c r="C203" s="22"/>
      <c r="F203" s="74"/>
      <c r="I203" s="74"/>
      <c r="L203" s="74"/>
      <c r="AD203" s="8"/>
      <c r="AE203" s="8"/>
      <c r="AF203" s="8"/>
      <c r="AG203" s="8"/>
      <c r="AH203" s="8"/>
      <c r="AI203" s="68"/>
      <c r="AJ203" s="68"/>
      <c r="AK203" s="68"/>
      <c r="AL203" s="68"/>
      <c r="AM203" s="68"/>
      <c r="AN203" s="68"/>
      <c r="AO203" s="68"/>
      <c r="AQ203" s="8"/>
      <c r="AR203" s="8"/>
    </row>
    <row r="204" spans="3:44" s="31" customFormat="1" x14ac:dyDescent="0.55000000000000004">
      <c r="C204" s="22"/>
      <c r="F204" s="74"/>
      <c r="I204" s="74"/>
      <c r="L204" s="74"/>
      <c r="AD204" s="8"/>
      <c r="AE204" s="8"/>
      <c r="AF204" s="8"/>
      <c r="AG204" s="8"/>
      <c r="AH204" s="8"/>
      <c r="AI204" s="68"/>
      <c r="AJ204" s="68"/>
      <c r="AK204" s="68"/>
      <c r="AL204" s="68"/>
      <c r="AM204" s="68"/>
      <c r="AN204" s="68"/>
      <c r="AO204" s="68"/>
      <c r="AQ204" s="8"/>
      <c r="AR204" s="8"/>
    </row>
    <row r="205" spans="3:44" s="31" customFormat="1" x14ac:dyDescent="0.55000000000000004">
      <c r="C205" s="22"/>
      <c r="F205" s="74"/>
      <c r="I205" s="74"/>
      <c r="L205" s="74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75" t="s">
        <v>41</v>
      </c>
      <c r="AQ205" s="75"/>
      <c r="AR205" s="75"/>
    </row>
    <row r="206" spans="3:44" s="31" customFormat="1" x14ac:dyDescent="0.55000000000000004">
      <c r="C206" s="74"/>
      <c r="F206" s="74"/>
      <c r="I206" s="74"/>
      <c r="L206" s="74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</row>
    <row r="207" spans="3:44" s="31" customFormat="1" x14ac:dyDescent="0.55000000000000004">
      <c r="C207" s="74"/>
      <c r="F207" s="74"/>
      <c r="I207" s="74"/>
      <c r="L207" s="74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</row>
    <row r="208" spans="3:44" s="31" customFormat="1" x14ac:dyDescent="0.55000000000000004">
      <c r="C208" s="74"/>
      <c r="F208" s="74"/>
      <c r="I208" s="74"/>
      <c r="L208" s="74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</row>
    <row r="209" spans="3:41" s="31" customFormat="1" x14ac:dyDescent="0.55000000000000004">
      <c r="C209" s="74"/>
      <c r="F209" s="74"/>
      <c r="I209" s="74"/>
      <c r="L209" s="74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</row>
    <row r="210" spans="3:41" s="31" customFormat="1" x14ac:dyDescent="0.55000000000000004">
      <c r="C210" s="74"/>
      <c r="F210" s="74"/>
      <c r="I210" s="74"/>
      <c r="L210" s="74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</row>
    <row r="211" spans="3:41" s="31" customFormat="1" x14ac:dyDescent="0.55000000000000004">
      <c r="C211" s="74"/>
      <c r="F211" s="74"/>
      <c r="I211" s="74"/>
      <c r="L211" s="74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</row>
    <row r="212" spans="3:41" s="31" customFormat="1" x14ac:dyDescent="0.55000000000000004">
      <c r="C212" s="74"/>
      <c r="F212" s="74"/>
      <c r="I212" s="74"/>
      <c r="L212" s="74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</row>
    <row r="213" spans="3:41" s="31" customFormat="1" x14ac:dyDescent="0.55000000000000004">
      <c r="C213" s="74"/>
      <c r="F213" s="74"/>
      <c r="I213" s="74"/>
      <c r="L213" s="74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</row>
    <row r="214" spans="3:41" s="31" customFormat="1" x14ac:dyDescent="0.55000000000000004">
      <c r="C214" s="74"/>
      <c r="F214" s="74"/>
      <c r="I214" s="74"/>
      <c r="L214" s="74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</row>
    <row r="215" spans="3:41" s="31" customFormat="1" x14ac:dyDescent="0.55000000000000004">
      <c r="C215" s="74"/>
      <c r="F215" s="74"/>
      <c r="I215" s="74"/>
      <c r="L215" s="74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</row>
    <row r="216" spans="3:41" s="31" customFormat="1" x14ac:dyDescent="0.55000000000000004">
      <c r="C216" s="74"/>
      <c r="F216" s="74"/>
      <c r="I216" s="74"/>
      <c r="L216" s="74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</row>
    <row r="217" spans="3:41" s="31" customFormat="1" x14ac:dyDescent="0.55000000000000004">
      <c r="C217" s="74"/>
      <c r="F217" s="74"/>
      <c r="I217" s="74"/>
      <c r="L217" s="74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</row>
    <row r="218" spans="3:41" s="31" customFormat="1" x14ac:dyDescent="0.55000000000000004">
      <c r="C218" s="74"/>
      <c r="F218" s="74"/>
      <c r="I218" s="74"/>
      <c r="L218" s="74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</row>
    <row r="219" spans="3:41" s="31" customFormat="1" x14ac:dyDescent="0.55000000000000004">
      <c r="C219" s="74"/>
      <c r="F219" s="74"/>
      <c r="I219" s="74"/>
      <c r="L219" s="74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</row>
    <row r="220" spans="3:41" s="31" customFormat="1" x14ac:dyDescent="0.55000000000000004">
      <c r="C220" s="74"/>
      <c r="F220" s="74"/>
      <c r="I220" s="74"/>
      <c r="L220" s="74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</row>
    <row r="221" spans="3:41" s="31" customFormat="1" x14ac:dyDescent="0.55000000000000004">
      <c r="C221" s="74"/>
      <c r="F221" s="74"/>
      <c r="I221" s="74"/>
      <c r="L221" s="74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</row>
    <row r="222" spans="3:41" s="31" customFormat="1" x14ac:dyDescent="0.55000000000000004">
      <c r="C222" s="74"/>
      <c r="F222" s="74"/>
      <c r="I222" s="74"/>
      <c r="L222" s="74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</row>
    <row r="223" spans="3:41" s="31" customFormat="1" x14ac:dyDescent="0.55000000000000004">
      <c r="C223" s="74"/>
      <c r="F223" s="74"/>
      <c r="I223" s="74"/>
      <c r="L223" s="74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</row>
    <row r="224" spans="3:41" s="31" customFormat="1" x14ac:dyDescent="0.55000000000000004">
      <c r="C224" s="74"/>
      <c r="F224" s="74"/>
      <c r="I224" s="74"/>
      <c r="L224" s="74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</row>
    <row r="225" spans="3:41" s="31" customFormat="1" x14ac:dyDescent="0.55000000000000004">
      <c r="C225" s="74"/>
      <c r="F225" s="74"/>
      <c r="I225" s="74"/>
      <c r="L225" s="74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</row>
    <row r="226" spans="3:41" s="31" customFormat="1" x14ac:dyDescent="0.55000000000000004">
      <c r="C226" s="74"/>
      <c r="F226" s="74"/>
      <c r="I226" s="74"/>
      <c r="L226" s="74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</row>
    <row r="227" spans="3:41" s="31" customFormat="1" x14ac:dyDescent="0.55000000000000004">
      <c r="C227" s="74"/>
      <c r="F227" s="74"/>
      <c r="I227" s="74"/>
      <c r="L227" s="74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</row>
    <row r="228" spans="3:41" s="31" customFormat="1" x14ac:dyDescent="0.55000000000000004">
      <c r="C228" s="74"/>
      <c r="F228" s="74"/>
      <c r="I228" s="74"/>
      <c r="L228" s="74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</row>
    <row r="229" spans="3:41" s="31" customFormat="1" x14ac:dyDescent="0.55000000000000004">
      <c r="C229" s="74"/>
      <c r="F229" s="74"/>
      <c r="I229" s="74"/>
      <c r="L229" s="74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</row>
    <row r="230" spans="3:41" s="31" customFormat="1" x14ac:dyDescent="0.55000000000000004">
      <c r="C230" s="74"/>
      <c r="F230" s="74"/>
      <c r="I230" s="74"/>
      <c r="L230" s="74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</row>
    <row r="231" spans="3:41" s="31" customFormat="1" x14ac:dyDescent="0.55000000000000004">
      <c r="C231" s="74"/>
      <c r="F231" s="74"/>
      <c r="I231" s="74"/>
      <c r="L231" s="74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</row>
    <row r="232" spans="3:41" s="31" customFormat="1" x14ac:dyDescent="0.55000000000000004">
      <c r="C232" s="74"/>
      <c r="F232" s="74"/>
      <c r="I232" s="74"/>
      <c r="L232" s="74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</row>
    <row r="233" spans="3:41" s="31" customFormat="1" x14ac:dyDescent="0.55000000000000004">
      <c r="C233" s="74"/>
      <c r="F233" s="74"/>
      <c r="I233" s="74"/>
      <c r="L233" s="74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</row>
    <row r="234" spans="3:41" s="31" customFormat="1" x14ac:dyDescent="0.55000000000000004">
      <c r="C234" s="74"/>
      <c r="F234" s="74"/>
      <c r="I234" s="74"/>
      <c r="L234" s="74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</row>
    <row r="235" spans="3:41" s="31" customFormat="1" x14ac:dyDescent="0.55000000000000004">
      <c r="C235" s="74"/>
      <c r="F235" s="74"/>
      <c r="I235" s="74"/>
      <c r="L235" s="74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</row>
    <row r="236" spans="3:41" s="31" customFormat="1" x14ac:dyDescent="0.55000000000000004">
      <c r="C236" s="74"/>
      <c r="F236" s="74"/>
      <c r="I236" s="74"/>
      <c r="L236" s="74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</row>
    <row r="237" spans="3:41" s="31" customFormat="1" x14ac:dyDescent="0.55000000000000004">
      <c r="C237" s="74"/>
      <c r="F237" s="74"/>
      <c r="I237" s="74"/>
      <c r="L237" s="74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</row>
    <row r="238" spans="3:41" s="31" customFormat="1" x14ac:dyDescent="0.55000000000000004">
      <c r="C238" s="74"/>
      <c r="F238" s="74"/>
      <c r="I238" s="74"/>
      <c r="L238" s="74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</row>
    <row r="239" spans="3:41" s="31" customFormat="1" x14ac:dyDescent="0.55000000000000004">
      <c r="C239" s="74"/>
      <c r="F239" s="74"/>
      <c r="I239" s="74"/>
      <c r="L239" s="74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</row>
    <row r="240" spans="3:41" s="31" customFormat="1" x14ac:dyDescent="0.55000000000000004">
      <c r="C240" s="74"/>
      <c r="F240" s="74"/>
      <c r="I240" s="74"/>
      <c r="L240" s="74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</row>
    <row r="241" spans="3:41" s="31" customFormat="1" x14ac:dyDescent="0.55000000000000004">
      <c r="C241" s="74"/>
      <c r="F241" s="74"/>
      <c r="I241" s="74"/>
      <c r="L241" s="74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</row>
    <row r="242" spans="3:41" s="31" customFormat="1" x14ac:dyDescent="0.55000000000000004">
      <c r="C242" s="74"/>
      <c r="F242" s="74"/>
      <c r="I242" s="74"/>
      <c r="L242" s="74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</row>
    <row r="243" spans="3:41" s="31" customFormat="1" x14ac:dyDescent="0.55000000000000004">
      <c r="C243" s="74"/>
      <c r="F243" s="74"/>
      <c r="I243" s="74"/>
      <c r="L243" s="74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</row>
    <row r="244" spans="3:41" s="31" customFormat="1" x14ac:dyDescent="0.55000000000000004">
      <c r="C244" s="74"/>
      <c r="F244" s="74"/>
      <c r="I244" s="74"/>
      <c r="L244" s="74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</row>
    <row r="245" spans="3:41" s="31" customFormat="1" x14ac:dyDescent="0.55000000000000004">
      <c r="C245" s="74"/>
      <c r="F245" s="74"/>
      <c r="I245" s="74"/>
      <c r="L245" s="74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</row>
    <row r="246" spans="3:41" s="31" customFormat="1" x14ac:dyDescent="0.55000000000000004">
      <c r="C246" s="74"/>
      <c r="F246" s="74"/>
      <c r="I246" s="74"/>
      <c r="L246" s="74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</row>
    <row r="247" spans="3:41" s="31" customFormat="1" x14ac:dyDescent="0.55000000000000004">
      <c r="C247" s="74"/>
      <c r="F247" s="74"/>
      <c r="I247" s="74"/>
      <c r="L247" s="74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</row>
    <row r="248" spans="3:41" s="31" customFormat="1" x14ac:dyDescent="0.55000000000000004">
      <c r="C248" s="74"/>
      <c r="F248" s="74"/>
      <c r="I248" s="74"/>
      <c r="L248" s="74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</row>
    <row r="249" spans="3:41" s="31" customFormat="1" x14ac:dyDescent="0.55000000000000004">
      <c r="C249" s="74"/>
      <c r="F249" s="74"/>
      <c r="I249" s="74"/>
      <c r="L249" s="74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</row>
    <row r="250" spans="3:41" s="31" customFormat="1" x14ac:dyDescent="0.55000000000000004">
      <c r="C250" s="74"/>
      <c r="F250" s="74"/>
      <c r="I250" s="74"/>
      <c r="L250" s="74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</row>
    <row r="251" spans="3:41" s="31" customFormat="1" x14ac:dyDescent="0.55000000000000004">
      <c r="C251" s="74"/>
      <c r="F251" s="74"/>
      <c r="I251" s="74"/>
      <c r="L251" s="74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</row>
    <row r="252" spans="3:41" s="31" customFormat="1" x14ac:dyDescent="0.55000000000000004">
      <c r="C252" s="74"/>
      <c r="F252" s="74"/>
      <c r="I252" s="74"/>
      <c r="L252" s="74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</row>
    <row r="253" spans="3:41" s="31" customFormat="1" x14ac:dyDescent="0.55000000000000004">
      <c r="C253" s="74"/>
      <c r="F253" s="74"/>
      <c r="I253" s="74"/>
      <c r="L253" s="74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</row>
    <row r="254" spans="3:41" s="31" customFormat="1" x14ac:dyDescent="0.55000000000000004">
      <c r="C254" s="74"/>
      <c r="F254" s="74"/>
      <c r="I254" s="74"/>
      <c r="L254" s="74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</row>
    <row r="255" spans="3:41" s="31" customFormat="1" x14ac:dyDescent="0.55000000000000004">
      <c r="C255" s="74"/>
      <c r="F255" s="74"/>
      <c r="I255" s="74"/>
      <c r="L255" s="74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</row>
    <row r="256" spans="3:41" s="31" customFormat="1" x14ac:dyDescent="0.55000000000000004">
      <c r="C256" s="74"/>
      <c r="F256" s="74"/>
      <c r="I256" s="74"/>
      <c r="L256" s="74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</row>
    <row r="257" spans="3:41" s="31" customFormat="1" x14ac:dyDescent="0.55000000000000004">
      <c r="C257" s="74"/>
      <c r="F257" s="74"/>
      <c r="I257" s="74"/>
      <c r="L257" s="74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</row>
    <row r="258" spans="3:41" s="31" customFormat="1" x14ac:dyDescent="0.55000000000000004">
      <c r="C258" s="74"/>
      <c r="F258" s="74"/>
      <c r="I258" s="74"/>
      <c r="L258" s="74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</row>
    <row r="259" spans="3:41" s="31" customFormat="1" x14ac:dyDescent="0.55000000000000004">
      <c r="C259" s="74"/>
      <c r="F259" s="74"/>
      <c r="I259" s="74"/>
      <c r="L259" s="74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</row>
    <row r="260" spans="3:41" s="31" customFormat="1" x14ac:dyDescent="0.55000000000000004">
      <c r="C260" s="74"/>
      <c r="F260" s="74"/>
      <c r="I260" s="74"/>
      <c r="L260" s="74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</row>
    <row r="261" spans="3:41" s="31" customFormat="1" x14ac:dyDescent="0.55000000000000004">
      <c r="C261" s="74"/>
      <c r="F261" s="74"/>
      <c r="I261" s="74"/>
      <c r="L261" s="74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</row>
    <row r="262" spans="3:41" s="31" customFormat="1" x14ac:dyDescent="0.55000000000000004">
      <c r="C262" s="74"/>
      <c r="F262" s="74"/>
      <c r="I262" s="74"/>
      <c r="L262" s="74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</row>
    <row r="263" spans="3:41" s="31" customFormat="1" x14ac:dyDescent="0.55000000000000004">
      <c r="C263" s="74"/>
      <c r="F263" s="74"/>
      <c r="I263" s="74"/>
      <c r="L263" s="74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</row>
    <row r="264" spans="3:41" s="31" customFormat="1" x14ac:dyDescent="0.55000000000000004">
      <c r="C264" s="74"/>
      <c r="F264" s="74"/>
      <c r="I264" s="74"/>
      <c r="L264" s="74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</row>
    <row r="265" spans="3:41" s="31" customFormat="1" x14ac:dyDescent="0.55000000000000004">
      <c r="C265" s="74"/>
      <c r="F265" s="74"/>
      <c r="I265" s="74"/>
      <c r="L265" s="74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</row>
    <row r="266" spans="3:41" s="31" customFormat="1" x14ac:dyDescent="0.55000000000000004">
      <c r="C266" s="74"/>
      <c r="F266" s="74"/>
      <c r="I266" s="74"/>
      <c r="L266" s="74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</row>
    <row r="267" spans="3:41" s="31" customFormat="1" x14ac:dyDescent="0.55000000000000004">
      <c r="C267" s="74"/>
      <c r="F267" s="74"/>
      <c r="I267" s="74"/>
      <c r="L267" s="74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</row>
    <row r="268" spans="3:41" s="31" customFormat="1" x14ac:dyDescent="0.55000000000000004">
      <c r="C268" s="74"/>
      <c r="F268" s="74"/>
      <c r="I268" s="74"/>
      <c r="L268" s="74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</row>
    <row r="269" spans="3:41" s="31" customFormat="1" x14ac:dyDescent="0.55000000000000004">
      <c r="C269" s="74"/>
      <c r="F269" s="74"/>
      <c r="I269" s="74"/>
      <c r="L269" s="74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</row>
    <row r="270" spans="3:41" s="31" customFormat="1" x14ac:dyDescent="0.55000000000000004">
      <c r="C270" s="74"/>
      <c r="F270" s="74"/>
      <c r="I270" s="74"/>
      <c r="L270" s="74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</row>
    <row r="271" spans="3:41" s="31" customFormat="1" x14ac:dyDescent="0.55000000000000004">
      <c r="C271" s="74"/>
      <c r="F271" s="74"/>
      <c r="I271" s="74"/>
      <c r="L271" s="74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</row>
    <row r="272" spans="3:41" s="31" customFormat="1" x14ac:dyDescent="0.55000000000000004">
      <c r="C272" s="74"/>
      <c r="F272" s="74"/>
      <c r="I272" s="74"/>
      <c r="L272" s="74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</row>
    <row r="273" spans="3:41" s="31" customFormat="1" x14ac:dyDescent="0.55000000000000004">
      <c r="C273" s="74"/>
      <c r="F273" s="74"/>
      <c r="I273" s="74"/>
      <c r="L273" s="74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</row>
    <row r="274" spans="3:41" s="31" customFormat="1" x14ac:dyDescent="0.55000000000000004">
      <c r="C274" s="74"/>
      <c r="F274" s="74"/>
      <c r="I274" s="74"/>
      <c r="L274" s="74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</row>
    <row r="275" spans="3:41" s="31" customFormat="1" x14ac:dyDescent="0.55000000000000004">
      <c r="C275" s="74"/>
      <c r="F275" s="74"/>
      <c r="I275" s="74"/>
      <c r="L275" s="74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</row>
    <row r="276" spans="3:41" s="31" customFormat="1" x14ac:dyDescent="0.55000000000000004">
      <c r="C276" s="74"/>
      <c r="F276" s="74"/>
      <c r="I276" s="74"/>
      <c r="L276" s="74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</row>
    <row r="277" spans="3:41" s="31" customFormat="1" x14ac:dyDescent="0.55000000000000004">
      <c r="C277" s="74"/>
      <c r="F277" s="74"/>
      <c r="I277" s="74"/>
      <c r="L277" s="74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</row>
    <row r="278" spans="3:41" s="31" customFormat="1" x14ac:dyDescent="0.55000000000000004">
      <c r="C278" s="74"/>
      <c r="F278" s="74"/>
      <c r="I278" s="74"/>
      <c r="L278" s="74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</row>
    <row r="279" spans="3:41" s="31" customFormat="1" x14ac:dyDescent="0.55000000000000004">
      <c r="C279" s="74"/>
      <c r="F279" s="74"/>
      <c r="I279" s="74"/>
      <c r="L279" s="74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</row>
    <row r="280" spans="3:41" s="31" customFormat="1" x14ac:dyDescent="0.55000000000000004">
      <c r="C280" s="74"/>
      <c r="F280" s="74"/>
      <c r="I280" s="74"/>
      <c r="L280" s="74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</row>
    <row r="281" spans="3:41" s="31" customFormat="1" x14ac:dyDescent="0.55000000000000004">
      <c r="C281" s="74"/>
      <c r="F281" s="74"/>
      <c r="I281" s="74"/>
      <c r="L281" s="74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</row>
    <row r="282" spans="3:41" s="31" customFormat="1" x14ac:dyDescent="0.55000000000000004">
      <c r="C282" s="74"/>
      <c r="F282" s="74"/>
      <c r="I282" s="74"/>
      <c r="L282" s="74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</row>
    <row r="283" spans="3:41" s="31" customFormat="1" x14ac:dyDescent="0.55000000000000004">
      <c r="C283" s="74"/>
      <c r="F283" s="74"/>
      <c r="I283" s="74"/>
      <c r="L283" s="74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</row>
    <row r="284" spans="3:41" s="31" customFormat="1" x14ac:dyDescent="0.55000000000000004">
      <c r="C284" s="74"/>
      <c r="F284" s="74"/>
      <c r="I284" s="74"/>
      <c r="L284" s="74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</row>
    <row r="285" spans="3:41" s="31" customFormat="1" x14ac:dyDescent="0.55000000000000004">
      <c r="C285" s="74"/>
      <c r="F285" s="74"/>
      <c r="I285" s="74"/>
      <c r="L285" s="74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</row>
    <row r="286" spans="3:41" s="31" customFormat="1" x14ac:dyDescent="0.55000000000000004">
      <c r="C286" s="74"/>
      <c r="F286" s="74"/>
      <c r="I286" s="74"/>
      <c r="L286" s="74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</row>
    <row r="287" spans="3:41" s="31" customFormat="1" x14ac:dyDescent="0.55000000000000004">
      <c r="C287" s="74"/>
      <c r="F287" s="74"/>
      <c r="I287" s="74"/>
      <c r="L287" s="74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</row>
    <row r="288" spans="3:41" s="31" customFormat="1" x14ac:dyDescent="0.55000000000000004">
      <c r="C288" s="74"/>
      <c r="F288" s="74"/>
      <c r="I288" s="74"/>
      <c r="L288" s="74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</row>
    <row r="289" spans="3:41" s="31" customFormat="1" x14ac:dyDescent="0.55000000000000004">
      <c r="C289" s="74"/>
      <c r="F289" s="74"/>
      <c r="I289" s="74"/>
      <c r="L289" s="74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</row>
    <row r="290" spans="3:41" s="31" customFormat="1" x14ac:dyDescent="0.55000000000000004">
      <c r="C290" s="74"/>
      <c r="F290" s="74"/>
      <c r="I290" s="74"/>
      <c r="L290" s="74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</row>
    <row r="291" spans="3:41" s="31" customFormat="1" x14ac:dyDescent="0.55000000000000004">
      <c r="C291" s="74"/>
      <c r="F291" s="74"/>
      <c r="I291" s="74"/>
      <c r="L291" s="74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</row>
    <row r="292" spans="3:41" s="31" customFormat="1" x14ac:dyDescent="0.55000000000000004">
      <c r="C292" s="74"/>
      <c r="F292" s="74"/>
      <c r="I292" s="74"/>
      <c r="L292" s="74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</row>
    <row r="293" spans="3:41" s="31" customFormat="1" x14ac:dyDescent="0.55000000000000004">
      <c r="C293" s="74"/>
      <c r="F293" s="74"/>
      <c r="I293" s="74"/>
      <c r="L293" s="74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</row>
    <row r="294" spans="3:41" s="31" customFormat="1" x14ac:dyDescent="0.55000000000000004">
      <c r="C294" s="74"/>
      <c r="F294" s="74"/>
      <c r="I294" s="74"/>
      <c r="L294" s="74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</row>
    <row r="295" spans="3:41" s="31" customFormat="1" x14ac:dyDescent="0.55000000000000004">
      <c r="C295" s="74"/>
      <c r="F295" s="74"/>
      <c r="I295" s="74"/>
      <c r="L295" s="74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</row>
    <row r="296" spans="3:41" s="31" customFormat="1" x14ac:dyDescent="0.55000000000000004">
      <c r="C296" s="74"/>
      <c r="F296" s="74"/>
      <c r="I296" s="74"/>
      <c r="L296" s="74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</row>
    <row r="297" spans="3:41" s="31" customFormat="1" x14ac:dyDescent="0.55000000000000004">
      <c r="C297" s="74"/>
      <c r="F297" s="74"/>
      <c r="I297" s="74"/>
      <c r="L297" s="74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</row>
    <row r="298" spans="3:41" s="31" customFormat="1" x14ac:dyDescent="0.55000000000000004">
      <c r="C298" s="74"/>
      <c r="F298" s="74"/>
      <c r="I298" s="74"/>
      <c r="L298" s="74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</row>
    <row r="299" spans="3:41" s="31" customFormat="1" x14ac:dyDescent="0.55000000000000004">
      <c r="C299" s="74"/>
      <c r="F299" s="74"/>
      <c r="I299" s="74"/>
      <c r="L299" s="74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</row>
  </sheetData>
  <sheetProtection password="DF0A" sheet="1" objects="1" scenarios="1" selectLockedCells="1"/>
  <mergeCells count="33">
    <mergeCell ref="N47:N49"/>
    <mergeCell ref="N28:O28"/>
    <mergeCell ref="N29:O29"/>
    <mergeCell ref="N30:O30"/>
    <mergeCell ref="N31:O31"/>
    <mergeCell ref="N33:N36"/>
    <mergeCell ref="AV23:AX23"/>
    <mergeCell ref="B2:M2"/>
    <mergeCell ref="O8:P8"/>
    <mergeCell ref="O9:P9"/>
    <mergeCell ref="N2:T2"/>
    <mergeCell ref="N4:P4"/>
    <mergeCell ref="N5:P5"/>
    <mergeCell ref="O10:P10"/>
    <mergeCell ref="O7:P7"/>
    <mergeCell ref="O12:P12"/>
    <mergeCell ref="O14:P14"/>
    <mergeCell ref="P76:Y76"/>
    <mergeCell ref="O11:P11"/>
    <mergeCell ref="N15:O15"/>
    <mergeCell ref="N16:O16"/>
    <mergeCell ref="N17:O17"/>
    <mergeCell ref="N23:O23"/>
    <mergeCell ref="N24:O24"/>
    <mergeCell ref="N25:O25"/>
    <mergeCell ref="N18:O18"/>
    <mergeCell ref="O13:P13"/>
    <mergeCell ref="N26:O26"/>
    <mergeCell ref="N39:O39"/>
    <mergeCell ref="N38:O38"/>
    <mergeCell ref="N41:P41"/>
    <mergeCell ref="N42:N44"/>
    <mergeCell ref="N46:P46"/>
  </mergeCells>
  <conditionalFormatting sqref="L5:L54">
    <cfRule type="cellIs" dxfId="9" priority="35" stopIfTrue="1" operator="lessThan">
      <formula>$P$16</formula>
    </cfRule>
    <cfRule type="cellIs" dxfId="8" priority="36" stopIfTrue="1" operator="greaterThan">
      <formula>$P$17</formula>
    </cfRule>
  </conditionalFormatting>
  <conditionalFormatting sqref="P26">
    <cfRule type="containsText" dxfId="7" priority="1" operator="containsText" text="not">
      <formula>NOT(ISERROR(SEARCH("not",P26)))</formula>
    </cfRule>
    <cfRule type="containsText" dxfId="6" priority="16" stopIfTrue="1" operator="containsText" text="nicht">
      <formula>NOT(ISERROR(SEARCH("nicht",P26)))</formula>
    </cfRule>
  </conditionalFormatting>
  <conditionalFormatting sqref="I5:I54">
    <cfRule type="cellIs" dxfId="5" priority="10" stopIfTrue="1" operator="lessThan">
      <formula>$P$16</formula>
    </cfRule>
    <cfRule type="cellIs" dxfId="4" priority="11" stopIfTrue="1" operator="greaterThan">
      <formula>$P$17</formula>
    </cfRule>
  </conditionalFormatting>
  <conditionalFormatting sqref="C5:C54">
    <cfRule type="cellIs" dxfId="3" priority="4" stopIfTrue="1" operator="lessThan">
      <formula>$P$16</formula>
    </cfRule>
    <cfRule type="cellIs" dxfId="2" priority="5" stopIfTrue="1" operator="greaterThan">
      <formula>$P$17</formula>
    </cfRule>
  </conditionalFormatting>
  <conditionalFormatting sqref="F5:F54">
    <cfRule type="cellIs" dxfId="1" priority="2" stopIfTrue="1" operator="lessThan">
      <formula>$P$16</formula>
    </cfRule>
    <cfRule type="cellIs" dxfId="0" priority="3" stopIfTrue="1" operator="greaterThan">
      <formula>$P$17</formula>
    </cfRule>
  </conditionalFormatting>
  <dataValidations disablePrompts="1" xWindow="882" yWindow="442" count="1">
    <dataValidation type="whole" allowBlank="1" showInputMessage="1" showErrorMessage="1" promptTitle="Anzahl der Klassen" prompt="Die Anzahl der Klassen darf nur ganze Zahlen zwischen 3 und 20 beinhalten" sqref="P18">
      <formula1>3</formula1>
      <formula2>20</formula2>
    </dataValidation>
  </dataValidations>
  <printOptions horizontalCentered="1" verticalCentered="1"/>
  <pageMargins left="0" right="0" top="0" bottom="0" header="0" footer="0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Option Button 244">
              <controlPr defaultSize="0" autoFill="0" autoLine="0" autoPict="0">
                <anchor moveWithCells="1">
                  <from>
                    <xdr:col>21</xdr:col>
                    <xdr:colOff>857250</xdr:colOff>
                    <xdr:row>1</xdr:row>
                    <xdr:rowOff>247650</xdr:rowOff>
                  </from>
                  <to>
                    <xdr:col>21</xdr:col>
                    <xdr:colOff>1104900</xdr:colOff>
                    <xdr:row>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Option Button 245">
              <controlPr defaultSize="0" autoFill="0" autoLine="0" autoPict="0">
                <anchor moveWithCells="1">
                  <from>
                    <xdr:col>22</xdr:col>
                    <xdr:colOff>857250</xdr:colOff>
                    <xdr:row>1</xdr:row>
                    <xdr:rowOff>247650</xdr:rowOff>
                  </from>
                  <to>
                    <xdr:col>22</xdr:col>
                    <xdr:colOff>1104900</xdr:colOff>
                    <xdr:row>1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T268"/>
  <sheetViews>
    <sheetView topLeftCell="M67" zoomScale="115" zoomScaleNormal="115" workbookViewId="0">
      <selection activeCell="V100" sqref="V100"/>
    </sheetView>
  </sheetViews>
  <sheetFormatPr baseColWidth="10" defaultColWidth="11.3984375" defaultRowHeight="18" x14ac:dyDescent="0.55000000000000004"/>
  <cols>
    <col min="1" max="1" width="2.1328125" style="8" customWidth="1"/>
    <col min="2" max="2" width="5.73046875" style="8" customWidth="1"/>
    <col min="3" max="3" width="12.73046875" style="81" customWidth="1"/>
    <col min="4" max="4" width="2" style="8" customWidth="1"/>
    <col min="5" max="5" width="5.73046875" style="8" customWidth="1"/>
    <col min="6" max="6" width="12.73046875" style="9" customWidth="1"/>
    <col min="7" max="7" width="2" style="8" customWidth="1"/>
    <col min="8" max="8" width="5.73046875" style="8" customWidth="1"/>
    <col min="9" max="9" width="12.73046875" style="9" customWidth="1"/>
    <col min="10" max="10" width="1.73046875" style="8" customWidth="1"/>
    <col min="11" max="11" width="5.73046875" style="8" customWidth="1"/>
    <col min="12" max="12" width="12.73046875" style="9" customWidth="1"/>
    <col min="13" max="13" width="2.86328125" style="8" customWidth="1"/>
    <col min="14" max="14" width="19" style="8" customWidth="1"/>
    <col min="15" max="15" width="24" style="8" customWidth="1"/>
    <col min="16" max="16" width="14.1328125" style="8" customWidth="1"/>
    <col min="17" max="17" width="20.59765625" style="8" customWidth="1"/>
    <col min="18" max="18" width="41.265625" style="8" customWidth="1"/>
    <col min="19" max="25" width="20.3984375" style="8" customWidth="1"/>
    <col min="26" max="26" width="3.73046875" style="8" customWidth="1"/>
    <col min="27" max="27" width="8.3984375" style="8" customWidth="1"/>
    <col min="28" max="55" width="11.3984375" style="8"/>
    <col min="56" max="56" width="13.265625" style="8" customWidth="1"/>
    <col min="57" max="57" width="11.3984375" style="8"/>
    <col min="58" max="60" width="12.73046875" style="8" bestFit="1" customWidth="1"/>
    <col min="61" max="61" width="15.3984375" style="8" bestFit="1" customWidth="1"/>
    <col min="62" max="62" width="13.3984375" style="8" bestFit="1" customWidth="1"/>
    <col min="63" max="16384" width="11.3984375" style="8"/>
  </cols>
  <sheetData>
    <row r="1" spans="2:72" ht="13.5" customHeight="1" x14ac:dyDescent="0.55000000000000004">
      <c r="V1" s="11"/>
      <c r="W1" s="11"/>
      <c r="X1" s="11"/>
      <c r="Y1" s="11"/>
    </row>
    <row r="2" spans="2:72" ht="65.25" customHeight="1" x14ac:dyDescent="1">
      <c r="B2" s="209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  <c r="N2" s="212" t="s">
        <v>30</v>
      </c>
      <c r="O2" s="212"/>
      <c r="P2" s="212"/>
      <c r="Q2" s="212"/>
      <c r="R2" s="212"/>
      <c r="S2" s="212"/>
      <c r="T2" s="212"/>
      <c r="U2" s="212"/>
      <c r="V2" s="11"/>
      <c r="W2" s="11"/>
      <c r="X2" s="11"/>
      <c r="Y2" s="11"/>
      <c r="AD2" s="204" t="s">
        <v>31</v>
      </c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U2" s="213" t="s">
        <v>32</v>
      </c>
      <c r="AV2" s="213"/>
      <c r="AW2" s="213"/>
      <c r="AX2" s="213"/>
      <c r="AY2" s="213"/>
      <c r="AZ2" s="213"/>
      <c r="BA2" s="213"/>
      <c r="BC2" s="203" t="s">
        <v>59</v>
      </c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82"/>
      <c r="BO2" s="82"/>
      <c r="BP2" s="82"/>
      <c r="BQ2" s="82"/>
      <c r="BR2" s="82"/>
      <c r="BS2" s="82"/>
      <c r="BT2" s="82"/>
    </row>
    <row r="3" spans="2:72" x14ac:dyDescent="0.55000000000000004">
      <c r="B3" s="83"/>
      <c r="C3" s="84"/>
      <c r="D3" s="83"/>
      <c r="E3" s="83"/>
      <c r="F3" s="85"/>
      <c r="G3" s="83"/>
      <c r="H3" s="83"/>
      <c r="I3" s="85"/>
      <c r="J3" s="83"/>
      <c r="K3" s="83"/>
      <c r="L3" s="85"/>
      <c r="M3" s="21"/>
      <c r="N3" s="21"/>
      <c r="O3" s="21"/>
      <c r="P3" s="21"/>
      <c r="Q3" s="21"/>
      <c r="R3" s="21"/>
      <c r="S3" s="21"/>
      <c r="T3" s="21"/>
      <c r="U3" s="21"/>
      <c r="V3" s="11"/>
      <c r="W3" s="11"/>
      <c r="X3" s="11"/>
      <c r="Y3" s="11"/>
      <c r="Z3" s="21"/>
      <c r="AA3" s="21"/>
      <c r="AB3" s="21"/>
      <c r="AC3" s="21"/>
      <c r="AD3" s="86"/>
      <c r="AE3" s="86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 t="s">
        <v>27</v>
      </c>
      <c r="AR3" s="87"/>
    </row>
    <row r="4" spans="2:72" s="96" customFormat="1" ht="13.15" x14ac:dyDescent="0.4">
      <c r="B4" s="88" t="s">
        <v>0</v>
      </c>
      <c r="C4" s="89" t="s">
        <v>1</v>
      </c>
      <c r="D4" s="90"/>
      <c r="E4" s="88" t="s">
        <v>0</v>
      </c>
      <c r="F4" s="88" t="s">
        <v>1</v>
      </c>
      <c r="G4" s="88"/>
      <c r="H4" s="88" t="s">
        <v>0</v>
      </c>
      <c r="I4" s="88" t="s">
        <v>1</v>
      </c>
      <c r="J4" s="88"/>
      <c r="K4" s="88" t="s">
        <v>0</v>
      </c>
      <c r="L4" s="88" t="s">
        <v>1</v>
      </c>
      <c r="M4" s="91"/>
      <c r="N4" s="144"/>
      <c r="O4" s="144"/>
      <c r="P4" s="144"/>
      <c r="Q4" s="91"/>
      <c r="R4" s="91"/>
      <c r="S4" s="91"/>
      <c r="T4" s="91"/>
      <c r="U4" s="91"/>
      <c r="V4" s="91"/>
      <c r="W4" s="91"/>
      <c r="X4" s="91"/>
      <c r="Y4" s="91"/>
      <c r="Z4" s="92"/>
      <c r="AA4" s="92"/>
      <c r="AB4" s="92"/>
      <c r="AC4" s="92"/>
      <c r="AD4" s="93" t="s">
        <v>24</v>
      </c>
      <c r="AE4" s="93" t="s">
        <v>3</v>
      </c>
      <c r="AF4" s="94" t="s">
        <v>4</v>
      </c>
      <c r="AG4" s="94" t="str">
        <f>IF('Eingabe und Diagramm'!AB2=1,"OGW","USL")</f>
        <v>USL</v>
      </c>
      <c r="AH4" s="94" t="str">
        <f>IF('Eingabe und Diagramm'!AB2=1,"UGW","LSL")</f>
        <v>LSL</v>
      </c>
      <c r="AI4" s="94" t="str">
        <f>" - 1 Sigma"</f>
        <v xml:space="preserve"> - 1 Sigma</v>
      </c>
      <c r="AJ4" s="94" t="str">
        <f>" + 1 Sigma"</f>
        <v xml:space="preserve"> + 1 Sigma</v>
      </c>
      <c r="AK4" s="93" t="str">
        <f>"-  2 Sigma"</f>
        <v>-  2 Sigma</v>
      </c>
      <c r="AL4" s="93" t="str">
        <f>" + 2 Sigma"</f>
        <v xml:space="preserve"> + 2 Sigma</v>
      </c>
      <c r="AM4" s="93" t="str">
        <f>" - 3 Sigma"</f>
        <v xml:space="preserve"> - 3 Sigma</v>
      </c>
      <c r="AN4" s="93" t="str">
        <f>" + 3 Sigma"</f>
        <v xml:space="preserve"> + 3 Sigma</v>
      </c>
      <c r="AO4" s="93" t="str">
        <f>O13</f>
        <v>mid µ</v>
      </c>
      <c r="AP4" s="95"/>
      <c r="AQ4" s="95" t="s">
        <v>28</v>
      </c>
      <c r="AR4" s="95" t="s">
        <v>29</v>
      </c>
      <c r="AV4" s="97" t="s">
        <v>34</v>
      </c>
      <c r="AW4" s="98" t="s">
        <v>33</v>
      </c>
      <c r="AX4" s="93" t="s">
        <v>35</v>
      </c>
      <c r="AY4" s="93" t="s">
        <v>40</v>
      </c>
      <c r="AZ4" s="93"/>
      <c r="BC4" s="99" t="s">
        <v>0</v>
      </c>
      <c r="BD4" s="99" t="s">
        <v>47</v>
      </c>
      <c r="BE4" s="99" t="s">
        <v>24</v>
      </c>
      <c r="BF4" s="99"/>
      <c r="BG4" s="99" t="s">
        <v>77</v>
      </c>
      <c r="BH4" s="99"/>
      <c r="BI4" s="99" t="s">
        <v>48</v>
      </c>
      <c r="BJ4" s="99" t="s">
        <v>49</v>
      </c>
      <c r="BK4" s="100"/>
      <c r="BL4" s="101" t="s">
        <v>50</v>
      </c>
      <c r="BM4" s="101" t="s">
        <v>49</v>
      </c>
      <c r="BN4" s="102"/>
    </row>
    <row r="5" spans="2:72" s="96" customFormat="1" ht="14.25" x14ac:dyDescent="0.45">
      <c r="B5" s="88">
        <v>1</v>
      </c>
      <c r="C5" s="103">
        <f>IF('Eingabe und Diagramm'!C5="","",'Eingabe und Diagramm'!C5)</f>
        <v>10.5</v>
      </c>
      <c r="D5" s="90"/>
      <c r="E5" s="88">
        <v>51</v>
      </c>
      <c r="F5" s="103" t="str">
        <f>IF('Eingabe und Diagramm'!F5="","",'Eingabe und Diagramm'!F5)</f>
        <v/>
      </c>
      <c r="G5" s="104"/>
      <c r="H5" s="105">
        <v>101</v>
      </c>
      <c r="I5" s="103" t="str">
        <f>IF('Eingabe und Diagramm'!I5="","",'Eingabe und Diagramm'!I5)</f>
        <v/>
      </c>
      <c r="J5" s="104"/>
      <c r="K5" s="105">
        <v>151</v>
      </c>
      <c r="L5" s="103" t="str">
        <f>IF('Eingabe und Diagramm'!L5="","",'Eingabe und Diagramm'!L5)</f>
        <v/>
      </c>
      <c r="M5" s="91"/>
      <c r="N5" s="144"/>
      <c r="O5" s="141" t="str">
        <f>'Eingabe und Diagramm'!N12</f>
        <v>Date:</v>
      </c>
      <c r="P5" s="142">
        <f>Datum</f>
        <v>32874</v>
      </c>
      <c r="Q5" s="91"/>
      <c r="R5"/>
      <c r="S5"/>
      <c r="T5"/>
      <c r="U5"/>
      <c r="V5"/>
      <c r="W5"/>
      <c r="X5"/>
      <c r="Y5"/>
      <c r="Z5" s="92"/>
      <c r="AA5" s="92"/>
      <c r="AB5" s="92"/>
      <c r="AC5" s="92"/>
      <c r="AD5" s="106">
        <v>1</v>
      </c>
      <c r="AE5" s="106">
        <f t="shared" ref="AE5:AE36" si="0">IF((Anzahl&gt;AD5),AD5,Anzahl)</f>
        <v>1</v>
      </c>
      <c r="AF5" s="95">
        <f>IF(C5&lt;&gt;"",C5,1)</f>
        <v>10.5</v>
      </c>
      <c r="AG5" s="95">
        <f t="shared" ref="AG5:AG36" si="1">IF(C5&lt;&gt;"",OGW,AG4)</f>
        <v>12</v>
      </c>
      <c r="AH5" s="95">
        <f t="shared" ref="AH5:AH36" si="2">IF(C5&lt;&gt;"",UGW,AH4)</f>
        <v>10</v>
      </c>
      <c r="AI5" s="107">
        <f>Mittelwert-Standardabweichung</f>
        <v>10.378785896192221</v>
      </c>
      <c r="AJ5" s="107">
        <f>Mittelwert+Standardabweichung</f>
        <v>10.631214103807773</v>
      </c>
      <c r="AK5" s="107">
        <f>Mittelwert-2*Standardabweichung</f>
        <v>10.252571792384446</v>
      </c>
      <c r="AL5" s="107">
        <f>Mittelwert+2*Standardabweichung</f>
        <v>10.757428207615549</v>
      </c>
      <c r="AM5" s="107">
        <f>Mittelwert-3*Standardabweichung</f>
        <v>10.12635768857667</v>
      </c>
      <c r="AN5" s="107">
        <f>Mittelwert+3*Standardabweichung</f>
        <v>10.883642311423325</v>
      </c>
      <c r="AO5" s="107">
        <f>Mittelwert</f>
        <v>10.504999999999997</v>
      </c>
      <c r="AP5" s="107"/>
      <c r="AQ5" s="95">
        <f t="shared" ref="AQ5:AQ36" si="3">IF(AND(C5&lt;&gt;"",C5&lt;UGW),1,0)</f>
        <v>0</v>
      </c>
      <c r="AR5" s="95">
        <f t="shared" ref="AR5:AR36" si="4">IF(AND(C5&lt;&gt;"",C5&gt;OGW),1,0)</f>
        <v>0</v>
      </c>
      <c r="AV5" s="93">
        <v>-6</v>
      </c>
      <c r="AW5" s="98">
        <f t="shared" ref="AW5:AW16" si="5">Mittelwert+AV5*Standardabweichung</f>
        <v>9.7477153771533445</v>
      </c>
      <c r="AX5" s="93">
        <v>3</v>
      </c>
      <c r="AY5" s="93">
        <f>AX5*2</f>
        <v>6</v>
      </c>
      <c r="AZ5" s="98">
        <f>AW5</f>
        <v>9.7477153771533445</v>
      </c>
      <c r="BC5" s="94">
        <v>1</v>
      </c>
      <c r="BD5" s="108">
        <f t="shared" ref="BD5:BD36" si="6">IF(C5="",NA(),SMALL(xi,BE5))</f>
        <v>10.3</v>
      </c>
      <c r="BE5" s="94">
        <f>IF(C5="","",1)</f>
        <v>1</v>
      </c>
      <c r="BF5" s="109">
        <f t="shared" ref="BF5:BF36" si="7">IF(C5="","",NORMSDIST((BD5-Mittelwert)/Standardabweichung))</f>
        <v>5.2163985425533146E-2</v>
      </c>
      <c r="BG5" s="109">
        <f t="shared" ref="BG5:BG36" si="8">IF(C5="","",1-BF5)</f>
        <v>0.94783601457446687</v>
      </c>
      <c r="BH5" s="109">
        <f t="shared" ref="BH5:BH36" si="9">IF(C5="","",SMALL(BG,BE5))</f>
        <v>9.7118415552568393E-3</v>
      </c>
      <c r="BI5" s="109">
        <f t="shared" ref="BI5:BI36" si="10">IF(C5="","",(2*BE5-1)*(LN(BH5)+LN(BF5)))</f>
        <v>-7.58777231570956</v>
      </c>
      <c r="BJ5" s="109">
        <f t="shared" ref="BJ5:BJ36" si="11">IF(C5="",NA(),NORMSINV((BE5-0.3)/(Anzahl+0.4)))</f>
        <v>-1.9346740800992501</v>
      </c>
      <c r="BL5" s="109">
        <f>Standardabweichung*BM5+Mittelwert</f>
        <v>10.883642311423325</v>
      </c>
      <c r="BM5" s="94">
        <v>3</v>
      </c>
      <c r="BS5" s="110"/>
    </row>
    <row r="6" spans="2:72" s="96" customFormat="1" ht="14.25" x14ac:dyDescent="0.45">
      <c r="B6" s="88">
        <v>2</v>
      </c>
      <c r="C6" s="103">
        <f>IF('Eingabe und Diagramm'!C6="","",'Eingabe und Diagramm'!C6)</f>
        <v>10.4</v>
      </c>
      <c r="D6" s="90"/>
      <c r="E6" s="88">
        <v>52</v>
      </c>
      <c r="F6" s="103" t="str">
        <f>IF('Eingabe und Diagramm'!F6="","",'Eingabe und Diagramm'!F6)</f>
        <v/>
      </c>
      <c r="G6" s="104"/>
      <c r="H6" s="105">
        <v>102</v>
      </c>
      <c r="I6" s="103" t="str">
        <f>IF('Eingabe und Diagramm'!I6="","",'Eingabe und Diagramm'!I6)</f>
        <v/>
      </c>
      <c r="J6" s="104"/>
      <c r="K6" s="105">
        <v>152</v>
      </c>
      <c r="L6" s="103" t="str">
        <f>IF('Eingabe und Diagramm'!L6="","",'Eingabe und Diagramm'!L6)</f>
        <v/>
      </c>
      <c r="M6" s="91"/>
      <c r="N6" s="91"/>
      <c r="O6" s="141" t="str">
        <f>'Eingabe und Diagramm'!N13</f>
        <v>Attribute:</v>
      </c>
      <c r="P6" s="93" t="str">
        <f>Merkmal</f>
        <v>Testmerkmal1</v>
      </c>
      <c r="Q6" s="91"/>
      <c r="R6"/>
      <c r="S6"/>
      <c r="T6"/>
      <c r="U6"/>
      <c r="V6"/>
      <c r="W6"/>
      <c r="X6"/>
      <c r="Y6"/>
      <c r="Z6" s="92"/>
      <c r="AA6" s="92"/>
      <c r="AB6" s="92"/>
      <c r="AC6" s="92"/>
      <c r="AD6" s="106">
        <v>2</v>
      </c>
      <c r="AE6" s="106">
        <f t="shared" si="0"/>
        <v>2</v>
      </c>
      <c r="AF6" s="95">
        <f>IF(C6&lt;&gt;"",C6,AG5)</f>
        <v>10.4</v>
      </c>
      <c r="AG6" s="95">
        <f t="shared" si="1"/>
        <v>12</v>
      </c>
      <c r="AH6" s="95">
        <f t="shared" si="2"/>
        <v>10</v>
      </c>
      <c r="AI6" s="107">
        <f t="shared" ref="AI6:AO21" si="12">AI5</f>
        <v>10.378785896192221</v>
      </c>
      <c r="AJ6" s="107">
        <f t="shared" si="12"/>
        <v>10.631214103807773</v>
      </c>
      <c r="AK6" s="107">
        <f t="shared" si="12"/>
        <v>10.252571792384446</v>
      </c>
      <c r="AL6" s="107">
        <f t="shared" si="12"/>
        <v>10.757428207615549</v>
      </c>
      <c r="AM6" s="107">
        <f t="shared" si="12"/>
        <v>10.12635768857667</v>
      </c>
      <c r="AN6" s="107">
        <f t="shared" si="12"/>
        <v>10.883642311423325</v>
      </c>
      <c r="AO6" s="107">
        <f t="shared" si="12"/>
        <v>10.504999999999997</v>
      </c>
      <c r="AP6" s="95"/>
      <c r="AQ6" s="95">
        <f t="shared" si="3"/>
        <v>0</v>
      </c>
      <c r="AR6" s="95">
        <f t="shared" si="4"/>
        <v>0</v>
      </c>
      <c r="AV6" s="93">
        <v>-5</v>
      </c>
      <c r="AW6" s="98">
        <f t="shared" si="5"/>
        <v>9.8739294809611202</v>
      </c>
      <c r="AX6" s="93">
        <v>3</v>
      </c>
      <c r="AY6" s="93">
        <f t="shared" ref="AY6:AY16" si="13">AX6*2</f>
        <v>6</v>
      </c>
      <c r="AZ6" s="98">
        <f>AZ5</f>
        <v>9.7477153771533445</v>
      </c>
      <c r="BC6" s="94">
        <v>2</v>
      </c>
      <c r="BD6" s="108">
        <f t="shared" si="6"/>
        <v>10.3</v>
      </c>
      <c r="BE6" s="94">
        <f t="shared" ref="BE6:BE37" si="14">IF(C6="","",1+BE5)</f>
        <v>2</v>
      </c>
      <c r="BF6" s="109">
        <f t="shared" si="7"/>
        <v>5.2163985425533146E-2</v>
      </c>
      <c r="BG6" s="109">
        <f t="shared" si="8"/>
        <v>0.94783601457446687</v>
      </c>
      <c r="BH6" s="109">
        <f t="shared" si="9"/>
        <v>6.1173889049843888E-2</v>
      </c>
      <c r="BI6" s="109">
        <f t="shared" si="10"/>
        <v>-17.242193359804695</v>
      </c>
      <c r="BJ6" s="109">
        <f t="shared" si="11"/>
        <v>-1.5188991668172815</v>
      </c>
      <c r="BL6" s="109">
        <f>Standardabweichung*BM6+Mittelwert</f>
        <v>10.504999999999997</v>
      </c>
      <c r="BM6" s="94">
        <v>0</v>
      </c>
      <c r="BS6" s="110"/>
    </row>
    <row r="7" spans="2:72" s="96" customFormat="1" ht="14.25" x14ac:dyDescent="0.45">
      <c r="B7" s="88">
        <v>3</v>
      </c>
      <c r="C7" s="103">
        <f>IF('Eingabe und Diagramm'!C7="","",'Eingabe und Diagramm'!C7)</f>
        <v>10.6</v>
      </c>
      <c r="D7" s="90"/>
      <c r="E7" s="88">
        <v>53</v>
      </c>
      <c r="F7" s="103" t="str">
        <f>IF('Eingabe und Diagramm'!F7="","",'Eingabe und Diagramm'!F7)</f>
        <v/>
      </c>
      <c r="G7" s="104"/>
      <c r="H7" s="105">
        <v>103</v>
      </c>
      <c r="I7" s="103" t="str">
        <f>IF('Eingabe und Diagramm'!I7="","",'Eingabe und Diagramm'!I7)</f>
        <v/>
      </c>
      <c r="J7" s="104"/>
      <c r="K7" s="105">
        <v>153</v>
      </c>
      <c r="L7" s="103" t="str">
        <f>IF('Eingabe und Diagramm'!L7="","",'Eingabe und Diagramm'!L7)</f>
        <v/>
      </c>
      <c r="M7" s="91"/>
      <c r="N7" s="91"/>
      <c r="O7" s="141" t="str">
        <f>'Eingabe und Diagramm'!N14</f>
        <v>Measuring unit:</v>
      </c>
      <c r="P7" s="93" t="str">
        <f>Maßeinheit</f>
        <v>mm</v>
      </c>
      <c r="Q7" s="91"/>
      <c r="R7"/>
      <c r="S7"/>
      <c r="T7"/>
      <c r="U7"/>
      <c r="V7"/>
      <c r="W7"/>
      <c r="X7"/>
      <c r="Y7"/>
      <c r="Z7" s="92"/>
      <c r="AA7" s="92"/>
      <c r="AB7" s="92"/>
      <c r="AC7" s="92"/>
      <c r="AD7" s="106">
        <v>3</v>
      </c>
      <c r="AE7" s="106">
        <f t="shared" si="0"/>
        <v>3</v>
      </c>
      <c r="AF7" s="95">
        <f>IF(C7&lt;&gt;"",C7,AG6)</f>
        <v>10.6</v>
      </c>
      <c r="AG7" s="95">
        <f t="shared" si="1"/>
        <v>12</v>
      </c>
      <c r="AH7" s="95">
        <f t="shared" si="2"/>
        <v>10</v>
      </c>
      <c r="AI7" s="107">
        <f t="shared" si="12"/>
        <v>10.378785896192221</v>
      </c>
      <c r="AJ7" s="107">
        <f t="shared" si="12"/>
        <v>10.631214103807773</v>
      </c>
      <c r="AK7" s="107">
        <f t="shared" si="12"/>
        <v>10.252571792384446</v>
      </c>
      <c r="AL7" s="107">
        <f t="shared" si="12"/>
        <v>10.757428207615549</v>
      </c>
      <c r="AM7" s="107">
        <f t="shared" si="12"/>
        <v>10.12635768857667</v>
      </c>
      <c r="AN7" s="107">
        <f t="shared" si="12"/>
        <v>10.883642311423325</v>
      </c>
      <c r="AO7" s="107">
        <f t="shared" si="12"/>
        <v>10.504999999999997</v>
      </c>
      <c r="AP7" s="95"/>
      <c r="AQ7" s="95">
        <f t="shared" si="3"/>
        <v>0</v>
      </c>
      <c r="AR7" s="95">
        <f t="shared" si="4"/>
        <v>0</v>
      </c>
      <c r="AV7" s="93">
        <v>-4</v>
      </c>
      <c r="AW7" s="98">
        <f t="shared" si="5"/>
        <v>10.000143584768896</v>
      </c>
      <c r="AX7" s="93">
        <v>3</v>
      </c>
      <c r="AY7" s="93">
        <f t="shared" si="13"/>
        <v>6</v>
      </c>
      <c r="AZ7" s="98">
        <f t="shared" ref="AZ7:AZ16" si="15">AZ6</f>
        <v>9.7477153771533445</v>
      </c>
      <c r="BC7" s="94">
        <v>3</v>
      </c>
      <c r="BD7" s="108">
        <f t="shared" si="6"/>
        <v>10.33</v>
      </c>
      <c r="BE7" s="94">
        <f t="shared" si="14"/>
        <v>3</v>
      </c>
      <c r="BF7" s="109">
        <f t="shared" si="7"/>
        <v>8.2792129602248341E-2</v>
      </c>
      <c r="BG7" s="109">
        <f t="shared" si="8"/>
        <v>0.91720787039775165</v>
      </c>
      <c r="BH7" s="109">
        <f t="shared" si="9"/>
        <v>6.1173889049843888E-2</v>
      </c>
      <c r="BI7" s="109">
        <f t="shared" si="10"/>
        <v>-26.427285526193547</v>
      </c>
      <c r="BJ7" s="109">
        <f t="shared" si="11"/>
        <v>-1.2687073653921925</v>
      </c>
      <c r="BL7" s="109">
        <f>Standardabweichung*BM7+Mittelwert</f>
        <v>10.12635768857667</v>
      </c>
      <c r="BM7" s="94">
        <v>-3</v>
      </c>
      <c r="BS7" s="110"/>
    </row>
    <row r="8" spans="2:72" s="96" customFormat="1" ht="14.25" x14ac:dyDescent="0.45">
      <c r="B8" s="88">
        <v>4</v>
      </c>
      <c r="C8" s="103">
        <f>IF('Eingabe und Diagramm'!C8="","",'Eingabe und Diagramm'!C8)</f>
        <v>10.4</v>
      </c>
      <c r="D8" s="90"/>
      <c r="E8" s="88">
        <v>54</v>
      </c>
      <c r="F8" s="103" t="str">
        <f>IF('Eingabe und Diagramm'!F8="","",'Eingabe und Diagramm'!F8)</f>
        <v/>
      </c>
      <c r="G8" s="104"/>
      <c r="H8" s="105">
        <v>104</v>
      </c>
      <c r="I8" s="103" t="str">
        <f>IF('Eingabe und Diagramm'!I8="","",'Eingabe und Diagramm'!I8)</f>
        <v/>
      </c>
      <c r="J8" s="104"/>
      <c r="K8" s="105">
        <v>154</v>
      </c>
      <c r="L8" s="103" t="str">
        <f>IF('Eingabe und Diagramm'!L8="","",'Eingabe und Diagramm'!L8)</f>
        <v/>
      </c>
      <c r="M8" s="91"/>
      <c r="N8" s="111"/>
      <c r="O8" s="141" t="str">
        <f>'Eingabe und Diagramm'!N15</f>
        <v>Nominal value =</v>
      </c>
      <c r="P8" s="143">
        <f>Sollwert</f>
        <v>11</v>
      </c>
      <c r="Q8" s="91"/>
      <c r="R8"/>
      <c r="S8"/>
      <c r="T8"/>
      <c r="U8"/>
      <c r="V8"/>
      <c r="W8"/>
      <c r="X8"/>
      <c r="Y8"/>
      <c r="Z8" s="92"/>
      <c r="AA8" s="92"/>
      <c r="AB8" s="92"/>
      <c r="AC8" s="92"/>
      <c r="AD8" s="106">
        <v>4</v>
      </c>
      <c r="AE8" s="106">
        <f t="shared" si="0"/>
        <v>4</v>
      </c>
      <c r="AF8" s="95">
        <f t="shared" ref="AF8:AF71" si="16">IF(C8&lt;&gt;"",C8,AF7)</f>
        <v>10.4</v>
      </c>
      <c r="AG8" s="95">
        <f t="shared" si="1"/>
        <v>12</v>
      </c>
      <c r="AH8" s="95">
        <f t="shared" si="2"/>
        <v>10</v>
      </c>
      <c r="AI8" s="107">
        <f t="shared" si="12"/>
        <v>10.378785896192221</v>
      </c>
      <c r="AJ8" s="107">
        <f t="shared" si="12"/>
        <v>10.631214103807773</v>
      </c>
      <c r="AK8" s="107">
        <f t="shared" si="12"/>
        <v>10.252571792384446</v>
      </c>
      <c r="AL8" s="107">
        <f t="shared" si="12"/>
        <v>10.757428207615549</v>
      </c>
      <c r="AM8" s="107">
        <f t="shared" si="12"/>
        <v>10.12635768857667</v>
      </c>
      <c r="AN8" s="107">
        <f t="shared" si="12"/>
        <v>10.883642311423325</v>
      </c>
      <c r="AO8" s="107">
        <f t="shared" si="12"/>
        <v>10.504999999999997</v>
      </c>
      <c r="AP8" s="95"/>
      <c r="AQ8" s="95">
        <f t="shared" si="3"/>
        <v>0</v>
      </c>
      <c r="AR8" s="95">
        <f t="shared" si="4"/>
        <v>0</v>
      </c>
      <c r="AV8" s="93">
        <v>-2</v>
      </c>
      <c r="AW8" s="98">
        <f t="shared" si="5"/>
        <v>10.252571792384446</v>
      </c>
      <c r="AX8" s="93">
        <v>3</v>
      </c>
      <c r="AY8" s="93">
        <f t="shared" si="13"/>
        <v>6</v>
      </c>
      <c r="AZ8" s="98">
        <f t="shared" si="15"/>
        <v>9.7477153771533445</v>
      </c>
      <c r="BC8" s="94">
        <v>4</v>
      </c>
      <c r="BD8" s="108">
        <f t="shared" si="6"/>
        <v>10.4</v>
      </c>
      <c r="BE8" s="94">
        <f t="shared" si="14"/>
        <v>4</v>
      </c>
      <c r="BF8" s="109">
        <f t="shared" si="7"/>
        <v>0.20272713428452355</v>
      </c>
      <c r="BG8" s="109">
        <f t="shared" si="8"/>
        <v>0.7972728657154764</v>
      </c>
      <c r="BH8" s="109">
        <f t="shared" si="9"/>
        <v>0.22581833359455838</v>
      </c>
      <c r="BI8" s="109">
        <f t="shared" si="10"/>
        <v>-21.587431647864491</v>
      </c>
      <c r="BJ8" s="109">
        <f t="shared" si="11"/>
        <v>-1.0796388586671013</v>
      </c>
      <c r="BS8" s="110"/>
    </row>
    <row r="9" spans="2:72" s="96" customFormat="1" ht="14.25" x14ac:dyDescent="0.45">
      <c r="B9" s="88">
        <v>5</v>
      </c>
      <c r="C9" s="103">
        <f>IF('Eingabe und Diagramm'!C9="","",'Eingabe und Diagramm'!C9)</f>
        <v>10.5</v>
      </c>
      <c r="D9" s="90"/>
      <c r="E9" s="88">
        <v>55</v>
      </c>
      <c r="F9" s="103" t="str">
        <f>IF('Eingabe und Diagramm'!F9="","",'Eingabe und Diagramm'!F9)</f>
        <v/>
      </c>
      <c r="G9" s="104"/>
      <c r="H9" s="105">
        <v>105</v>
      </c>
      <c r="I9" s="103" t="str">
        <f>IF('Eingabe und Diagramm'!I9="","",'Eingabe und Diagramm'!I9)</f>
        <v/>
      </c>
      <c r="J9" s="104"/>
      <c r="K9" s="105">
        <v>155</v>
      </c>
      <c r="L9" s="103" t="str">
        <f>IF('Eingabe und Diagramm'!L9="","",'Eingabe und Diagramm'!L9)</f>
        <v/>
      </c>
      <c r="M9" s="91"/>
      <c r="N9" s="111"/>
      <c r="O9" s="141" t="str">
        <f>'Eingabe und Diagramm'!N16</f>
        <v>Lower spec. limit LSL =</v>
      </c>
      <c r="P9" s="143">
        <f>UGW</f>
        <v>10</v>
      </c>
      <c r="Q9" s="91"/>
      <c r="R9" s="159"/>
      <c r="S9"/>
      <c r="T9"/>
      <c r="U9"/>
      <c r="V9"/>
      <c r="W9"/>
      <c r="X9"/>
      <c r="Y9"/>
      <c r="Z9" s="92"/>
      <c r="AA9" s="92"/>
      <c r="AB9" s="92"/>
      <c r="AC9" s="92"/>
      <c r="AD9" s="106">
        <v>5</v>
      </c>
      <c r="AE9" s="106">
        <f t="shared" si="0"/>
        <v>5</v>
      </c>
      <c r="AF9" s="95">
        <f t="shared" si="16"/>
        <v>10.5</v>
      </c>
      <c r="AG9" s="95">
        <f t="shared" si="1"/>
        <v>12</v>
      </c>
      <c r="AH9" s="95">
        <f t="shared" si="2"/>
        <v>10</v>
      </c>
      <c r="AI9" s="107">
        <f t="shared" si="12"/>
        <v>10.378785896192221</v>
      </c>
      <c r="AJ9" s="107">
        <f t="shared" si="12"/>
        <v>10.631214103807773</v>
      </c>
      <c r="AK9" s="107">
        <f t="shared" si="12"/>
        <v>10.252571792384446</v>
      </c>
      <c r="AL9" s="107">
        <f t="shared" si="12"/>
        <v>10.757428207615549</v>
      </c>
      <c r="AM9" s="107">
        <f t="shared" si="12"/>
        <v>10.12635768857667</v>
      </c>
      <c r="AN9" s="107">
        <f t="shared" si="12"/>
        <v>10.883642311423325</v>
      </c>
      <c r="AO9" s="107">
        <f t="shared" si="12"/>
        <v>10.504999999999997</v>
      </c>
      <c r="AP9" s="95"/>
      <c r="AQ9" s="95">
        <f t="shared" si="3"/>
        <v>0</v>
      </c>
      <c r="AR9" s="95">
        <f t="shared" si="4"/>
        <v>0</v>
      </c>
      <c r="AV9" s="93">
        <v>-1</v>
      </c>
      <c r="AW9" s="98">
        <f t="shared" si="5"/>
        <v>10.378785896192221</v>
      </c>
      <c r="AX9" s="93">
        <v>3</v>
      </c>
      <c r="AY9" s="93">
        <f t="shared" si="13"/>
        <v>6</v>
      </c>
      <c r="AZ9" s="98">
        <f t="shared" si="15"/>
        <v>9.7477153771533445</v>
      </c>
      <c r="BC9" s="94">
        <v>5</v>
      </c>
      <c r="BD9" s="108">
        <f t="shared" si="6"/>
        <v>10.4</v>
      </c>
      <c r="BE9" s="94">
        <f t="shared" si="14"/>
        <v>5</v>
      </c>
      <c r="BF9" s="109">
        <f t="shared" si="7"/>
        <v>0.20272713428452355</v>
      </c>
      <c r="BG9" s="109">
        <f t="shared" si="8"/>
        <v>0.7972728657154764</v>
      </c>
      <c r="BH9" s="109">
        <f t="shared" si="9"/>
        <v>0.22581833359455838</v>
      </c>
      <c r="BI9" s="109">
        <f t="shared" si="10"/>
        <v>-27.755269261540057</v>
      </c>
      <c r="BJ9" s="109">
        <f t="shared" si="11"/>
        <v>-0.92289753360667026</v>
      </c>
      <c r="BS9" s="110"/>
    </row>
    <row r="10" spans="2:72" s="96" customFormat="1" ht="14.25" x14ac:dyDescent="0.45">
      <c r="B10" s="88">
        <v>6</v>
      </c>
      <c r="C10" s="103">
        <f>IF('Eingabe und Diagramm'!C10="","",'Eingabe und Diagramm'!C10)</f>
        <v>10.5</v>
      </c>
      <c r="D10" s="90"/>
      <c r="E10" s="88">
        <v>56</v>
      </c>
      <c r="F10" s="103" t="str">
        <f>IF('Eingabe und Diagramm'!F10="","",'Eingabe und Diagramm'!F10)</f>
        <v/>
      </c>
      <c r="G10" s="104"/>
      <c r="H10" s="105">
        <v>106</v>
      </c>
      <c r="I10" s="103" t="str">
        <f>IF('Eingabe und Diagramm'!I10="","",'Eingabe und Diagramm'!I10)</f>
        <v/>
      </c>
      <c r="J10" s="104"/>
      <c r="K10" s="105">
        <v>156</v>
      </c>
      <c r="L10" s="103" t="str">
        <f>IF('Eingabe und Diagramm'!L10="","",'Eingabe und Diagramm'!L10)</f>
        <v/>
      </c>
      <c r="M10" s="91"/>
      <c r="N10" s="111"/>
      <c r="O10" s="141" t="str">
        <f>'Eingabe und Diagramm'!N17</f>
        <v>Upper spec. limit USL =</v>
      </c>
      <c r="P10" s="143">
        <f>OGW</f>
        <v>12</v>
      </c>
      <c r="Q10" s="91"/>
      <c r="R10" s="159"/>
      <c r="S10"/>
      <c r="T10"/>
      <c r="U10"/>
      <c r="V10"/>
      <c r="W10"/>
      <c r="X10"/>
      <c r="Y10"/>
      <c r="Z10" s="92"/>
      <c r="AA10" s="92"/>
      <c r="AB10" s="92"/>
      <c r="AC10" s="92"/>
      <c r="AD10" s="106">
        <v>6</v>
      </c>
      <c r="AE10" s="106">
        <f t="shared" si="0"/>
        <v>6</v>
      </c>
      <c r="AF10" s="95">
        <f t="shared" si="16"/>
        <v>10.5</v>
      </c>
      <c r="AG10" s="95">
        <f t="shared" si="1"/>
        <v>12</v>
      </c>
      <c r="AH10" s="95">
        <f t="shared" si="2"/>
        <v>10</v>
      </c>
      <c r="AI10" s="107">
        <f t="shared" si="12"/>
        <v>10.378785896192221</v>
      </c>
      <c r="AJ10" s="107">
        <f t="shared" si="12"/>
        <v>10.631214103807773</v>
      </c>
      <c r="AK10" s="107">
        <f t="shared" si="12"/>
        <v>10.252571792384446</v>
      </c>
      <c r="AL10" s="107">
        <f t="shared" si="12"/>
        <v>10.757428207615549</v>
      </c>
      <c r="AM10" s="107">
        <f t="shared" si="12"/>
        <v>10.12635768857667</v>
      </c>
      <c r="AN10" s="107">
        <f t="shared" si="12"/>
        <v>10.883642311423325</v>
      </c>
      <c r="AO10" s="107">
        <f t="shared" si="12"/>
        <v>10.504999999999997</v>
      </c>
      <c r="AP10" s="95"/>
      <c r="AQ10" s="95">
        <f t="shared" si="3"/>
        <v>0</v>
      </c>
      <c r="AR10" s="95">
        <f t="shared" si="4"/>
        <v>0</v>
      </c>
      <c r="AV10" s="93">
        <v>1</v>
      </c>
      <c r="AW10" s="98">
        <f t="shared" si="5"/>
        <v>10.631214103807773</v>
      </c>
      <c r="AX10" s="93">
        <v>3</v>
      </c>
      <c r="AY10" s="93">
        <f t="shared" si="13"/>
        <v>6</v>
      </c>
      <c r="AZ10" s="98">
        <f t="shared" si="15"/>
        <v>9.7477153771533445</v>
      </c>
      <c r="BC10" s="94">
        <v>6</v>
      </c>
      <c r="BD10" s="108">
        <f t="shared" si="6"/>
        <v>10.4</v>
      </c>
      <c r="BE10" s="94">
        <f t="shared" si="14"/>
        <v>6</v>
      </c>
      <c r="BF10" s="109">
        <f t="shared" si="7"/>
        <v>0.20272713428452355</v>
      </c>
      <c r="BG10" s="109">
        <f t="shared" si="8"/>
        <v>0.7972728657154764</v>
      </c>
      <c r="BH10" s="109">
        <f t="shared" si="9"/>
        <v>0.22581833359455838</v>
      </c>
      <c r="BI10" s="109">
        <f t="shared" si="10"/>
        <v>-33.92310687521563</v>
      </c>
      <c r="BJ10" s="109">
        <f t="shared" si="11"/>
        <v>-0.78608416291719951</v>
      </c>
      <c r="BL10" s="95" t="s">
        <v>51</v>
      </c>
      <c r="BM10" s="112">
        <f>SUM(Normalverteilung_S)</f>
        <v>-693.63501771170934</v>
      </c>
      <c r="BS10" s="110"/>
    </row>
    <row r="11" spans="2:72" s="96" customFormat="1" ht="14.25" x14ac:dyDescent="0.45">
      <c r="B11" s="88">
        <v>7</v>
      </c>
      <c r="C11" s="103">
        <f>IF('Eingabe und Diagramm'!C11="","",'Eingabe und Diagramm'!C11)</f>
        <v>10.4</v>
      </c>
      <c r="D11" s="90"/>
      <c r="E11" s="88">
        <v>57</v>
      </c>
      <c r="F11" s="103" t="str">
        <f>IF('Eingabe und Diagramm'!F11="","",'Eingabe und Diagramm'!F11)</f>
        <v/>
      </c>
      <c r="G11" s="104"/>
      <c r="H11" s="105">
        <v>107</v>
      </c>
      <c r="I11" s="103" t="str">
        <f>IF('Eingabe und Diagramm'!I11="","",'Eingabe und Diagramm'!I11)</f>
        <v/>
      </c>
      <c r="J11" s="104"/>
      <c r="K11" s="105">
        <v>157</v>
      </c>
      <c r="L11" s="103" t="str">
        <f>IF('Eingabe und Diagramm'!L11="","",'Eingabe und Diagramm'!L11)</f>
        <v/>
      </c>
      <c r="M11" s="91"/>
      <c r="N11" s="111"/>
      <c r="O11" s="91"/>
      <c r="P11" s="91"/>
      <c r="Q11" s="91"/>
      <c r="R11"/>
      <c r="S11"/>
      <c r="T11"/>
      <c r="U11"/>
      <c r="V11"/>
      <c r="W11"/>
      <c r="X11"/>
      <c r="Y11"/>
      <c r="Z11" s="92"/>
      <c r="AA11" s="92"/>
      <c r="AB11" s="92"/>
      <c r="AC11" s="92"/>
      <c r="AD11" s="106">
        <v>7</v>
      </c>
      <c r="AE11" s="106">
        <f t="shared" si="0"/>
        <v>7</v>
      </c>
      <c r="AF11" s="95">
        <f t="shared" si="16"/>
        <v>10.4</v>
      </c>
      <c r="AG11" s="95">
        <f t="shared" si="1"/>
        <v>12</v>
      </c>
      <c r="AH11" s="95">
        <f t="shared" si="2"/>
        <v>10</v>
      </c>
      <c r="AI11" s="107">
        <f t="shared" si="12"/>
        <v>10.378785896192221</v>
      </c>
      <c r="AJ11" s="107">
        <f t="shared" si="12"/>
        <v>10.631214103807773</v>
      </c>
      <c r="AK11" s="107">
        <f t="shared" si="12"/>
        <v>10.252571792384446</v>
      </c>
      <c r="AL11" s="107">
        <f t="shared" si="12"/>
        <v>10.757428207615549</v>
      </c>
      <c r="AM11" s="107">
        <f t="shared" si="12"/>
        <v>10.12635768857667</v>
      </c>
      <c r="AN11" s="107">
        <f t="shared" si="12"/>
        <v>10.883642311423325</v>
      </c>
      <c r="AO11" s="107">
        <f t="shared" si="12"/>
        <v>10.504999999999997</v>
      </c>
      <c r="AP11" s="95"/>
      <c r="AQ11" s="95">
        <f t="shared" si="3"/>
        <v>0</v>
      </c>
      <c r="AR11" s="95">
        <f t="shared" si="4"/>
        <v>0</v>
      </c>
      <c r="AV11" s="93">
        <v>2</v>
      </c>
      <c r="AW11" s="98">
        <f t="shared" si="5"/>
        <v>10.757428207615549</v>
      </c>
      <c r="AX11" s="93">
        <v>3</v>
      </c>
      <c r="AY11" s="93">
        <f t="shared" si="13"/>
        <v>6</v>
      </c>
      <c r="AZ11" s="98">
        <f t="shared" si="15"/>
        <v>9.7477153771533445</v>
      </c>
      <c r="BC11" s="94">
        <v>7</v>
      </c>
      <c r="BD11" s="108">
        <f t="shared" si="6"/>
        <v>10.4</v>
      </c>
      <c r="BE11" s="94">
        <f t="shared" si="14"/>
        <v>7</v>
      </c>
      <c r="BF11" s="109">
        <f t="shared" si="7"/>
        <v>0.20272713428452355</v>
      </c>
      <c r="BG11" s="109">
        <f t="shared" si="8"/>
        <v>0.7972728657154764</v>
      </c>
      <c r="BH11" s="109">
        <f t="shared" si="9"/>
        <v>0.22581833359455838</v>
      </c>
      <c r="BI11" s="109">
        <f t="shared" si="10"/>
        <v>-40.090944488891196</v>
      </c>
      <c r="BJ11" s="109">
        <f t="shared" si="11"/>
        <v>-0.66261719051200552</v>
      </c>
      <c r="BL11" s="113" t="s">
        <v>52</v>
      </c>
      <c r="BM11" s="109">
        <f>-BM10/Anzahl-Anzahl</f>
        <v>0.6782699119888207</v>
      </c>
      <c r="BS11" s="110"/>
    </row>
    <row r="12" spans="2:72" s="96" customFormat="1" ht="14.25" x14ac:dyDescent="0.45">
      <c r="B12" s="88">
        <v>8</v>
      </c>
      <c r="C12" s="103">
        <f>IF('Eingabe und Diagramm'!C12="","",'Eingabe und Diagramm'!C12)</f>
        <v>10.3</v>
      </c>
      <c r="D12" s="90"/>
      <c r="E12" s="88">
        <v>58</v>
      </c>
      <c r="F12" s="103" t="str">
        <f>IF('Eingabe und Diagramm'!F12="","",'Eingabe und Diagramm'!F12)</f>
        <v/>
      </c>
      <c r="G12" s="104"/>
      <c r="H12" s="105">
        <v>108</v>
      </c>
      <c r="I12" s="103" t="str">
        <f>IF('Eingabe und Diagramm'!I12="","",'Eingabe und Diagramm'!I12)</f>
        <v/>
      </c>
      <c r="J12" s="104"/>
      <c r="K12" s="105">
        <v>158</v>
      </c>
      <c r="L12" s="103" t="str">
        <f>IF('Eingabe und Diagramm'!L12="","",'Eingabe und Diagramm'!L12)</f>
        <v/>
      </c>
      <c r="M12" s="91"/>
      <c r="N12" s="111"/>
      <c r="O12" s="141" t="str">
        <f>'Eingabe und Diagramm'!N23</f>
        <v>Sample size n</v>
      </c>
      <c r="P12" s="145">
        <f>COUNT(C5:C204)</f>
        <v>26</v>
      </c>
      <c r="Q12" s="91"/>
      <c r="R12"/>
      <c r="S12"/>
      <c r="T12"/>
      <c r="U12"/>
      <c r="V12"/>
      <c r="W12"/>
      <c r="X12"/>
      <c r="Y12"/>
      <c r="Z12" s="92"/>
      <c r="AA12" s="92"/>
      <c r="AB12" s="92"/>
      <c r="AC12" s="92"/>
      <c r="AD12" s="106">
        <v>8</v>
      </c>
      <c r="AE12" s="106">
        <f t="shared" si="0"/>
        <v>8</v>
      </c>
      <c r="AF12" s="95">
        <f t="shared" si="16"/>
        <v>10.3</v>
      </c>
      <c r="AG12" s="95">
        <f t="shared" si="1"/>
        <v>12</v>
      </c>
      <c r="AH12" s="95">
        <f t="shared" si="2"/>
        <v>10</v>
      </c>
      <c r="AI12" s="107">
        <f t="shared" si="12"/>
        <v>10.378785896192221</v>
      </c>
      <c r="AJ12" s="107">
        <f t="shared" si="12"/>
        <v>10.631214103807773</v>
      </c>
      <c r="AK12" s="107">
        <f t="shared" si="12"/>
        <v>10.252571792384446</v>
      </c>
      <c r="AL12" s="107">
        <f t="shared" si="12"/>
        <v>10.757428207615549</v>
      </c>
      <c r="AM12" s="107">
        <f t="shared" si="12"/>
        <v>10.12635768857667</v>
      </c>
      <c r="AN12" s="107">
        <f t="shared" si="12"/>
        <v>10.883642311423325</v>
      </c>
      <c r="AO12" s="107">
        <f t="shared" si="12"/>
        <v>10.504999999999997</v>
      </c>
      <c r="AP12" s="95"/>
      <c r="AQ12" s="95">
        <f t="shared" si="3"/>
        <v>0</v>
      </c>
      <c r="AR12" s="95">
        <f t="shared" si="4"/>
        <v>0</v>
      </c>
      <c r="AV12" s="93">
        <v>4</v>
      </c>
      <c r="AW12" s="98">
        <f t="shared" si="5"/>
        <v>11.009856415231098</v>
      </c>
      <c r="AX12" s="93">
        <v>3</v>
      </c>
      <c r="AY12" s="93">
        <f t="shared" si="13"/>
        <v>6</v>
      </c>
      <c r="AZ12" s="98">
        <f t="shared" si="15"/>
        <v>9.7477153771533445</v>
      </c>
      <c r="BC12" s="94">
        <v>8</v>
      </c>
      <c r="BD12" s="108">
        <f t="shared" si="6"/>
        <v>10.4</v>
      </c>
      <c r="BE12" s="94">
        <f t="shared" si="14"/>
        <v>8</v>
      </c>
      <c r="BF12" s="109">
        <f t="shared" si="7"/>
        <v>0.20272713428452355</v>
      </c>
      <c r="BG12" s="109">
        <f t="shared" si="8"/>
        <v>0.7972728657154764</v>
      </c>
      <c r="BH12" s="109">
        <f t="shared" si="9"/>
        <v>0.22581833359455838</v>
      </c>
      <c r="BI12" s="109">
        <f t="shared" si="10"/>
        <v>-46.258782102566762</v>
      </c>
      <c r="BJ12" s="109">
        <f t="shared" si="11"/>
        <v>-0.54852228269809788</v>
      </c>
      <c r="BL12" s="95" t="s">
        <v>58</v>
      </c>
      <c r="BM12" s="109">
        <f>BM11*(1+0.75/Anzahl+2.25/Anzahl^2)</f>
        <v>0.70009294539970346</v>
      </c>
      <c r="BS12" s="110"/>
    </row>
    <row r="13" spans="2:72" s="96" customFormat="1" ht="14.25" x14ac:dyDescent="0.45">
      <c r="B13" s="88">
        <v>9</v>
      </c>
      <c r="C13" s="103">
        <f>IF('Eingabe und Diagramm'!C13="","",'Eingabe und Diagramm'!C13)</f>
        <v>10.5</v>
      </c>
      <c r="D13" s="90"/>
      <c r="E13" s="88">
        <v>59</v>
      </c>
      <c r="F13" s="103" t="str">
        <f>IF('Eingabe und Diagramm'!F13="","",'Eingabe und Diagramm'!F13)</f>
        <v/>
      </c>
      <c r="G13" s="104"/>
      <c r="H13" s="105">
        <v>109</v>
      </c>
      <c r="I13" s="103" t="str">
        <f>IF('Eingabe und Diagramm'!I13="","",'Eingabe und Diagramm'!I13)</f>
        <v/>
      </c>
      <c r="J13" s="104"/>
      <c r="K13" s="105">
        <v>159</v>
      </c>
      <c r="L13" s="103" t="str">
        <f>IF('Eingabe und Diagramm'!L13="","",'Eingabe und Diagramm'!L13)</f>
        <v/>
      </c>
      <c r="M13" s="91"/>
      <c r="N13" s="91"/>
      <c r="O13" s="141" t="str">
        <f>'Eingabe und Diagramm'!N24</f>
        <v>mid µ</v>
      </c>
      <c r="P13" s="146">
        <f>AVERAGE(C5:C204)</f>
        <v>10.504999999999997</v>
      </c>
      <c r="Q13" s="91"/>
      <c r="R13"/>
      <c r="S13"/>
      <c r="T13"/>
      <c r="U13"/>
      <c r="V13"/>
      <c r="W13"/>
      <c r="X13"/>
      <c r="Y13"/>
      <c r="Z13" s="92"/>
      <c r="AA13" s="92"/>
      <c r="AB13" s="92"/>
      <c r="AC13" s="92"/>
      <c r="AD13" s="106">
        <v>9</v>
      </c>
      <c r="AE13" s="106">
        <f t="shared" si="0"/>
        <v>9</v>
      </c>
      <c r="AF13" s="95">
        <f t="shared" si="16"/>
        <v>10.5</v>
      </c>
      <c r="AG13" s="95">
        <f t="shared" si="1"/>
        <v>12</v>
      </c>
      <c r="AH13" s="95">
        <f t="shared" si="2"/>
        <v>10</v>
      </c>
      <c r="AI13" s="107">
        <f t="shared" si="12"/>
        <v>10.378785896192221</v>
      </c>
      <c r="AJ13" s="107">
        <f t="shared" si="12"/>
        <v>10.631214103807773</v>
      </c>
      <c r="AK13" s="107">
        <f t="shared" si="12"/>
        <v>10.252571792384446</v>
      </c>
      <c r="AL13" s="107">
        <f t="shared" si="12"/>
        <v>10.757428207615549</v>
      </c>
      <c r="AM13" s="107">
        <f t="shared" si="12"/>
        <v>10.12635768857667</v>
      </c>
      <c r="AN13" s="107">
        <f t="shared" si="12"/>
        <v>10.883642311423325</v>
      </c>
      <c r="AO13" s="107">
        <f t="shared" si="12"/>
        <v>10.504999999999997</v>
      </c>
      <c r="AP13" s="95"/>
      <c r="AQ13" s="95">
        <f t="shared" si="3"/>
        <v>0</v>
      </c>
      <c r="AR13" s="95">
        <f t="shared" si="4"/>
        <v>0</v>
      </c>
      <c r="AV13" s="93">
        <v>5</v>
      </c>
      <c r="AW13" s="98">
        <f t="shared" si="5"/>
        <v>11.136070519038874</v>
      </c>
      <c r="AX13" s="93">
        <v>3</v>
      </c>
      <c r="AY13" s="93">
        <f t="shared" si="13"/>
        <v>6</v>
      </c>
      <c r="AZ13" s="98">
        <f t="shared" si="15"/>
        <v>9.7477153771533445</v>
      </c>
      <c r="BC13" s="94">
        <v>9</v>
      </c>
      <c r="BD13" s="108">
        <f t="shared" si="6"/>
        <v>10.4</v>
      </c>
      <c r="BE13" s="94">
        <f t="shared" si="14"/>
        <v>9</v>
      </c>
      <c r="BF13" s="109">
        <f t="shared" si="7"/>
        <v>0.20272713428452355</v>
      </c>
      <c r="BG13" s="109">
        <f t="shared" si="8"/>
        <v>0.7972728657154764</v>
      </c>
      <c r="BH13" s="109">
        <f t="shared" si="9"/>
        <v>0.22581833359455838</v>
      </c>
      <c r="BI13" s="109">
        <f t="shared" si="10"/>
        <v>-52.426619716242335</v>
      </c>
      <c r="BJ13" s="109">
        <f t="shared" si="11"/>
        <v>-0.44116864743261919</v>
      </c>
      <c r="BS13" s="110"/>
    </row>
    <row r="14" spans="2:72" s="96" customFormat="1" ht="14.25" x14ac:dyDescent="0.45">
      <c r="B14" s="88">
        <v>10</v>
      </c>
      <c r="C14" s="103">
        <f>IF('Eingabe und Diagramm'!C14="","",'Eingabe und Diagramm'!C14)</f>
        <v>10.6</v>
      </c>
      <c r="D14" s="90"/>
      <c r="E14" s="88">
        <v>60</v>
      </c>
      <c r="F14" s="103" t="str">
        <f>IF('Eingabe und Diagramm'!F14="","",'Eingabe und Diagramm'!F14)</f>
        <v/>
      </c>
      <c r="G14" s="104"/>
      <c r="H14" s="105">
        <v>110</v>
      </c>
      <c r="I14" s="103" t="str">
        <f>IF('Eingabe und Diagramm'!I14="","",'Eingabe und Diagramm'!I14)</f>
        <v/>
      </c>
      <c r="J14" s="104"/>
      <c r="K14" s="105">
        <v>160</v>
      </c>
      <c r="L14" s="103" t="str">
        <f>IF('Eingabe und Diagramm'!L14="","",'Eingabe und Diagramm'!L14)</f>
        <v/>
      </c>
      <c r="M14" s="91"/>
      <c r="N14" s="91"/>
      <c r="O14" s="141" t="str">
        <f>'Eingabe und Diagramm'!N25</f>
        <v>Standart deviation s</v>
      </c>
      <c r="P14" s="146">
        <f>STDEV(C5:C204)</f>
        <v>0.12621410380777551</v>
      </c>
      <c r="Q14" s="91"/>
      <c r="R14"/>
      <c r="S14"/>
      <c r="T14"/>
      <c r="U14"/>
      <c r="V14"/>
      <c r="W14"/>
      <c r="X14"/>
      <c r="Y14"/>
      <c r="Z14" s="92"/>
      <c r="AA14" s="92"/>
      <c r="AB14" s="92"/>
      <c r="AC14" s="92"/>
      <c r="AD14" s="106">
        <v>10</v>
      </c>
      <c r="AE14" s="106">
        <f t="shared" si="0"/>
        <v>10</v>
      </c>
      <c r="AF14" s="95">
        <f t="shared" si="16"/>
        <v>10.6</v>
      </c>
      <c r="AG14" s="95">
        <f t="shared" si="1"/>
        <v>12</v>
      </c>
      <c r="AH14" s="95">
        <f t="shared" si="2"/>
        <v>10</v>
      </c>
      <c r="AI14" s="107">
        <f t="shared" si="12"/>
        <v>10.378785896192221</v>
      </c>
      <c r="AJ14" s="107">
        <f t="shared" si="12"/>
        <v>10.631214103807773</v>
      </c>
      <c r="AK14" s="107">
        <f t="shared" si="12"/>
        <v>10.252571792384446</v>
      </c>
      <c r="AL14" s="107">
        <f t="shared" si="12"/>
        <v>10.757428207615549</v>
      </c>
      <c r="AM14" s="107">
        <f t="shared" si="12"/>
        <v>10.12635768857667</v>
      </c>
      <c r="AN14" s="107">
        <f t="shared" si="12"/>
        <v>10.883642311423325</v>
      </c>
      <c r="AO14" s="107">
        <f t="shared" si="12"/>
        <v>10.504999999999997</v>
      </c>
      <c r="AP14" s="95"/>
      <c r="AQ14" s="95">
        <f t="shared" si="3"/>
        <v>0</v>
      </c>
      <c r="AR14" s="95">
        <f t="shared" si="4"/>
        <v>0</v>
      </c>
      <c r="AV14" s="93">
        <v>6</v>
      </c>
      <c r="AW14" s="98">
        <f t="shared" si="5"/>
        <v>11.26228462284665</v>
      </c>
      <c r="AX14" s="93">
        <v>3</v>
      </c>
      <c r="AY14" s="93">
        <f t="shared" si="13"/>
        <v>6</v>
      </c>
      <c r="AZ14" s="98">
        <f t="shared" si="15"/>
        <v>9.7477153771533445</v>
      </c>
      <c r="BC14" s="94">
        <v>10</v>
      </c>
      <c r="BD14" s="108">
        <f t="shared" si="6"/>
        <v>10.5</v>
      </c>
      <c r="BE14" s="94">
        <f t="shared" si="14"/>
        <v>10</v>
      </c>
      <c r="BF14" s="109">
        <f t="shared" si="7"/>
        <v>0.48419994496701391</v>
      </c>
      <c r="BG14" s="109">
        <f t="shared" si="8"/>
        <v>0.51580005503298609</v>
      </c>
      <c r="BH14" s="109">
        <f t="shared" si="9"/>
        <v>0.51580005503298609</v>
      </c>
      <c r="BI14" s="109">
        <f t="shared" si="10"/>
        <v>-26.358575112547918</v>
      </c>
      <c r="BJ14" s="109">
        <f t="shared" si="11"/>
        <v>-0.33868308463365293</v>
      </c>
      <c r="BS14" s="110"/>
    </row>
    <row r="15" spans="2:72" s="96" customFormat="1" ht="14.25" x14ac:dyDescent="0.45">
      <c r="B15" s="88">
        <v>11</v>
      </c>
      <c r="C15" s="103">
        <f>IF('Eingabe und Diagramm'!C15="","",'Eingabe und Diagramm'!C15)</f>
        <v>10.4</v>
      </c>
      <c r="D15" s="90"/>
      <c r="E15" s="88">
        <v>61</v>
      </c>
      <c r="F15" s="103" t="str">
        <f>IF('Eingabe und Diagramm'!F15="","",'Eingabe und Diagramm'!F15)</f>
        <v/>
      </c>
      <c r="G15" s="104"/>
      <c r="H15" s="105">
        <v>111</v>
      </c>
      <c r="I15" s="103" t="str">
        <f>IF('Eingabe und Diagramm'!I15="","",'Eingabe und Diagramm'!I15)</f>
        <v/>
      </c>
      <c r="J15" s="104"/>
      <c r="K15" s="105">
        <v>161</v>
      </c>
      <c r="L15" s="103" t="str">
        <f>IF('Eingabe und Diagramm'!L15="","",'Eingabe und Diagramm'!L15)</f>
        <v/>
      </c>
      <c r="M15" s="91"/>
      <c r="N15" s="91"/>
      <c r="Q15" s="91"/>
      <c r="R15"/>
      <c r="S15"/>
      <c r="T15"/>
      <c r="U15"/>
      <c r="V15"/>
      <c r="W15"/>
      <c r="X15" s="158"/>
      <c r="Y15" s="158"/>
      <c r="Z15" s="91"/>
      <c r="AA15" s="92"/>
      <c r="AB15" s="92"/>
      <c r="AC15" s="92"/>
      <c r="AD15" s="106">
        <v>11</v>
      </c>
      <c r="AE15" s="106">
        <f t="shared" si="0"/>
        <v>11</v>
      </c>
      <c r="AF15" s="95">
        <f t="shared" si="16"/>
        <v>10.4</v>
      </c>
      <c r="AG15" s="95">
        <f t="shared" si="1"/>
        <v>12</v>
      </c>
      <c r="AH15" s="95">
        <f t="shared" si="2"/>
        <v>10</v>
      </c>
      <c r="AI15" s="107">
        <f t="shared" si="12"/>
        <v>10.378785896192221</v>
      </c>
      <c r="AJ15" s="107">
        <f t="shared" si="12"/>
        <v>10.631214103807773</v>
      </c>
      <c r="AK15" s="107">
        <f t="shared" si="12"/>
        <v>10.252571792384446</v>
      </c>
      <c r="AL15" s="107">
        <f t="shared" si="12"/>
        <v>10.757428207615549</v>
      </c>
      <c r="AM15" s="107">
        <f t="shared" si="12"/>
        <v>10.12635768857667</v>
      </c>
      <c r="AN15" s="107">
        <f t="shared" si="12"/>
        <v>10.883642311423325</v>
      </c>
      <c r="AO15" s="107">
        <f t="shared" si="12"/>
        <v>10.504999999999997</v>
      </c>
      <c r="AP15" s="95"/>
      <c r="AQ15" s="95">
        <f t="shared" si="3"/>
        <v>0</v>
      </c>
      <c r="AR15" s="95">
        <f t="shared" si="4"/>
        <v>0</v>
      </c>
      <c r="AV15" s="93">
        <v>-3</v>
      </c>
      <c r="AW15" s="98">
        <f t="shared" si="5"/>
        <v>10.12635768857667</v>
      </c>
      <c r="AX15" s="93">
        <v>3</v>
      </c>
      <c r="AY15" s="93">
        <f t="shared" si="13"/>
        <v>6</v>
      </c>
      <c r="AZ15" s="98">
        <f t="shared" si="15"/>
        <v>9.7477153771533445</v>
      </c>
      <c r="BC15" s="94">
        <v>11</v>
      </c>
      <c r="BD15" s="108">
        <f t="shared" si="6"/>
        <v>10.5</v>
      </c>
      <c r="BE15" s="94">
        <f t="shared" si="14"/>
        <v>11</v>
      </c>
      <c r="BF15" s="109">
        <f t="shared" si="7"/>
        <v>0.48419994496701391</v>
      </c>
      <c r="BG15" s="109">
        <f t="shared" si="8"/>
        <v>0.51580005503298609</v>
      </c>
      <c r="BH15" s="109">
        <f t="shared" si="9"/>
        <v>0.51580005503298609</v>
      </c>
      <c r="BI15" s="109">
        <f t="shared" si="10"/>
        <v>-29.133161966500332</v>
      </c>
      <c r="BJ15" s="109">
        <f t="shared" si="11"/>
        <v>-0.23964424611500856</v>
      </c>
      <c r="BL15" s="95" t="s">
        <v>53</v>
      </c>
      <c r="BM15" s="109">
        <f>IF(AND(BM12&lt;13, BM12&gt;=0.6),EXP(1.2937-5.709*BM12+0.0186*BM12^ 2),0)</f>
        <v>6.7608997557445885E-2</v>
      </c>
      <c r="BS15" s="110"/>
    </row>
    <row r="16" spans="2:72" s="96" customFormat="1" ht="14.25" x14ac:dyDescent="0.45">
      <c r="B16" s="88">
        <v>12</v>
      </c>
      <c r="C16" s="103">
        <f>IF('Eingabe und Diagramm'!C16="","",'Eingabe und Diagramm'!C16)</f>
        <v>10.5</v>
      </c>
      <c r="D16" s="90"/>
      <c r="E16" s="88">
        <v>62</v>
      </c>
      <c r="F16" s="103" t="str">
        <f>IF('Eingabe und Diagramm'!F16="","",'Eingabe und Diagramm'!F16)</f>
        <v/>
      </c>
      <c r="G16" s="104"/>
      <c r="H16" s="105">
        <v>112</v>
      </c>
      <c r="I16" s="103" t="str">
        <f>IF('Eingabe und Diagramm'!I16="","",'Eingabe und Diagramm'!I16)</f>
        <v/>
      </c>
      <c r="J16" s="104"/>
      <c r="K16" s="105">
        <v>162</v>
      </c>
      <c r="L16" s="103" t="str">
        <f>IF('Eingabe und Diagramm'!L16="","",'Eingabe und Diagramm'!L16)</f>
        <v/>
      </c>
      <c r="M16" s="91"/>
      <c r="N16" s="91"/>
      <c r="O16" s="214" t="str">
        <f>'Eingabe und Diagramm'!$N$33</f>
        <v>Capability indices</v>
      </c>
      <c r="P16" s="215"/>
      <c r="Q16" s="91"/>
      <c r="R16"/>
      <c r="S16"/>
      <c r="T16"/>
      <c r="U16"/>
      <c r="V16"/>
      <c r="W16"/>
      <c r="X16"/>
      <c r="Y16"/>
      <c r="Z16" s="91"/>
      <c r="AA16" s="92"/>
      <c r="AB16" s="92"/>
      <c r="AC16" s="92"/>
      <c r="AD16" s="106">
        <v>12</v>
      </c>
      <c r="AE16" s="106">
        <f t="shared" si="0"/>
        <v>12</v>
      </c>
      <c r="AF16" s="95">
        <f t="shared" si="16"/>
        <v>10.5</v>
      </c>
      <c r="AG16" s="95">
        <f t="shared" si="1"/>
        <v>12</v>
      </c>
      <c r="AH16" s="95">
        <f t="shared" si="2"/>
        <v>10</v>
      </c>
      <c r="AI16" s="107">
        <f t="shared" si="12"/>
        <v>10.378785896192221</v>
      </c>
      <c r="AJ16" s="107">
        <f t="shared" si="12"/>
        <v>10.631214103807773</v>
      </c>
      <c r="AK16" s="107">
        <f t="shared" si="12"/>
        <v>10.252571792384446</v>
      </c>
      <c r="AL16" s="107">
        <f t="shared" si="12"/>
        <v>10.757428207615549</v>
      </c>
      <c r="AM16" s="107">
        <f t="shared" si="12"/>
        <v>10.12635768857667</v>
      </c>
      <c r="AN16" s="107">
        <f t="shared" si="12"/>
        <v>10.883642311423325</v>
      </c>
      <c r="AO16" s="107">
        <f t="shared" si="12"/>
        <v>10.504999999999997</v>
      </c>
      <c r="AP16" s="95"/>
      <c r="AQ16" s="95">
        <f t="shared" si="3"/>
        <v>0</v>
      </c>
      <c r="AR16" s="95">
        <f t="shared" si="4"/>
        <v>0</v>
      </c>
      <c r="AV16" s="93">
        <v>3</v>
      </c>
      <c r="AW16" s="98">
        <f t="shared" si="5"/>
        <v>10.883642311423325</v>
      </c>
      <c r="AX16" s="93">
        <v>3</v>
      </c>
      <c r="AY16" s="93">
        <f t="shared" si="13"/>
        <v>6</v>
      </c>
      <c r="AZ16" s="98">
        <f t="shared" si="15"/>
        <v>9.7477153771533445</v>
      </c>
      <c r="BC16" s="94">
        <v>12</v>
      </c>
      <c r="BD16" s="108">
        <f t="shared" si="6"/>
        <v>10.5</v>
      </c>
      <c r="BE16" s="94">
        <f t="shared" si="14"/>
        <v>12</v>
      </c>
      <c r="BF16" s="109">
        <f t="shared" si="7"/>
        <v>0.48419994496701391</v>
      </c>
      <c r="BG16" s="109">
        <f t="shared" si="8"/>
        <v>0.51580005503298609</v>
      </c>
      <c r="BH16" s="109">
        <f t="shared" si="9"/>
        <v>0.51580005503298609</v>
      </c>
      <c r="BI16" s="109">
        <f t="shared" si="10"/>
        <v>-31.907748820452746</v>
      </c>
      <c r="BJ16" s="109">
        <f t="shared" si="11"/>
        <v>-0.14290699209399252</v>
      </c>
      <c r="BL16" s="95" t="s">
        <v>54</v>
      </c>
      <c r="BM16" s="109">
        <f>IF(AND(BM12&lt;0.6,BM12&gt;=0.34),EXP(0.9177-4.279*BM12-1.38*BM12^2),0)</f>
        <v>0</v>
      </c>
      <c r="BS16" s="110"/>
    </row>
    <row r="17" spans="2:71" s="96" customFormat="1" ht="15.4" x14ac:dyDescent="0.45">
      <c r="B17" s="88">
        <v>13</v>
      </c>
      <c r="C17" s="103">
        <f>IF('Eingabe und Diagramm'!C17="","",'Eingabe und Diagramm'!C17)</f>
        <v>10.7</v>
      </c>
      <c r="D17" s="90"/>
      <c r="E17" s="88">
        <v>63</v>
      </c>
      <c r="F17" s="103" t="str">
        <f>IF('Eingabe und Diagramm'!F17="","",'Eingabe und Diagramm'!F17)</f>
        <v/>
      </c>
      <c r="G17" s="104"/>
      <c r="H17" s="105">
        <v>113</v>
      </c>
      <c r="I17" s="103" t="str">
        <f>IF('Eingabe und Diagramm'!I17="","",'Eingabe und Diagramm'!I17)</f>
        <v/>
      </c>
      <c r="J17" s="104"/>
      <c r="K17" s="105">
        <v>163</v>
      </c>
      <c r="L17" s="103" t="str">
        <f>IF('Eingabe und Diagramm'!L17="","",'Eingabe und Diagramm'!L17)</f>
        <v/>
      </c>
      <c r="M17" s="91"/>
      <c r="N17" s="91"/>
      <c r="O17" s="141" t="s">
        <v>63</v>
      </c>
      <c r="P17" s="146">
        <f>(P13-P9)/(3*P14)</f>
        <v>1.3337125428526169</v>
      </c>
      <c r="Q17" s="91"/>
      <c r="R17"/>
      <c r="S17"/>
      <c r="T17"/>
      <c r="U17"/>
      <c r="V17"/>
      <c r="W17"/>
      <c r="X17"/>
      <c r="Y17"/>
      <c r="Z17" s="91"/>
      <c r="AA17" s="92"/>
      <c r="AB17" s="92"/>
      <c r="AC17" s="92"/>
      <c r="AD17" s="106">
        <v>13</v>
      </c>
      <c r="AE17" s="106">
        <f t="shared" si="0"/>
        <v>13</v>
      </c>
      <c r="AF17" s="95">
        <f t="shared" si="16"/>
        <v>10.7</v>
      </c>
      <c r="AG17" s="95">
        <f t="shared" si="1"/>
        <v>12</v>
      </c>
      <c r="AH17" s="95">
        <f t="shared" si="2"/>
        <v>10</v>
      </c>
      <c r="AI17" s="107">
        <f t="shared" si="12"/>
        <v>10.378785896192221</v>
      </c>
      <c r="AJ17" s="107">
        <f t="shared" si="12"/>
        <v>10.631214103807773</v>
      </c>
      <c r="AK17" s="107">
        <f t="shared" si="12"/>
        <v>10.252571792384446</v>
      </c>
      <c r="AL17" s="107">
        <f t="shared" si="12"/>
        <v>10.757428207615549</v>
      </c>
      <c r="AM17" s="107">
        <f t="shared" si="12"/>
        <v>10.12635768857667</v>
      </c>
      <c r="AN17" s="107">
        <f t="shared" si="12"/>
        <v>10.883642311423325</v>
      </c>
      <c r="AO17" s="107">
        <f t="shared" si="12"/>
        <v>10.504999999999997</v>
      </c>
      <c r="AP17" s="95"/>
      <c r="AQ17" s="95">
        <f t="shared" si="3"/>
        <v>0</v>
      </c>
      <c r="AR17" s="95">
        <f t="shared" si="4"/>
        <v>0</v>
      </c>
      <c r="AV17" s="91"/>
      <c r="AW17" s="91"/>
      <c r="AX17" s="91"/>
      <c r="AY17" s="91"/>
      <c r="AZ17" s="91"/>
      <c r="BC17" s="94">
        <v>13</v>
      </c>
      <c r="BD17" s="108">
        <f t="shared" si="6"/>
        <v>10.5</v>
      </c>
      <c r="BE17" s="94">
        <f t="shared" si="14"/>
        <v>13</v>
      </c>
      <c r="BF17" s="109">
        <f t="shared" si="7"/>
        <v>0.48419994496701391</v>
      </c>
      <c r="BG17" s="109">
        <f t="shared" si="8"/>
        <v>0.51580005503298609</v>
      </c>
      <c r="BH17" s="109">
        <f t="shared" si="9"/>
        <v>0.51580005503298609</v>
      </c>
      <c r="BI17" s="109">
        <f t="shared" si="10"/>
        <v>-34.682335674405159</v>
      </c>
      <c r="BJ17" s="109">
        <f t="shared" si="11"/>
        <v>-4.7491867120323737E-2</v>
      </c>
      <c r="BL17" s="95" t="s">
        <v>56</v>
      </c>
      <c r="BM17" s="109">
        <f>IF(AND(BM12&lt;0.34,BM12&gt;=0.2),1-EXP(-8.318+42.796*BM12-59.938*BM12^2),0)</f>
        <v>0</v>
      </c>
      <c r="BS17" s="110"/>
    </row>
    <row r="18" spans="2:71" s="96" customFormat="1" ht="15.4" x14ac:dyDescent="0.45">
      <c r="B18" s="88">
        <v>14</v>
      </c>
      <c r="C18" s="103">
        <f>IF('Eingabe und Diagramm'!C18="","",'Eingabe und Diagramm'!C18)</f>
        <v>10.5</v>
      </c>
      <c r="D18" s="90"/>
      <c r="E18" s="88">
        <v>64</v>
      </c>
      <c r="F18" s="103" t="str">
        <f>IF('Eingabe und Diagramm'!F18="","",'Eingabe und Diagramm'!F18)</f>
        <v/>
      </c>
      <c r="G18" s="104"/>
      <c r="H18" s="105">
        <v>114</v>
      </c>
      <c r="I18" s="103" t="str">
        <f>IF('Eingabe und Diagramm'!I18="","",'Eingabe und Diagramm'!I18)</f>
        <v/>
      </c>
      <c r="J18" s="104"/>
      <c r="K18" s="105">
        <v>164</v>
      </c>
      <c r="L18" s="103" t="str">
        <f>IF('Eingabe und Diagramm'!L18="","",'Eingabe und Diagramm'!L18)</f>
        <v/>
      </c>
      <c r="M18" s="91"/>
      <c r="N18" s="91"/>
      <c r="O18" s="141" t="s">
        <v>64</v>
      </c>
      <c r="P18" s="146">
        <f>(P10-P13)/(3*P14)</f>
        <v>3.9483173298310432</v>
      </c>
      <c r="Q18" s="91"/>
      <c r="R18"/>
      <c r="S18"/>
      <c r="T18"/>
      <c r="U18"/>
      <c r="V18"/>
      <c r="W18"/>
      <c r="X18"/>
      <c r="Y18"/>
      <c r="Z18" s="91"/>
      <c r="AA18" s="92"/>
      <c r="AB18" s="92"/>
      <c r="AC18" s="92"/>
      <c r="AD18" s="106">
        <v>14</v>
      </c>
      <c r="AE18" s="106">
        <f t="shared" si="0"/>
        <v>14</v>
      </c>
      <c r="AF18" s="95">
        <f t="shared" si="16"/>
        <v>10.5</v>
      </c>
      <c r="AG18" s="95">
        <f t="shared" si="1"/>
        <v>12</v>
      </c>
      <c r="AH18" s="95">
        <f t="shared" si="2"/>
        <v>10</v>
      </c>
      <c r="AI18" s="107">
        <f t="shared" si="12"/>
        <v>10.378785896192221</v>
      </c>
      <c r="AJ18" s="107">
        <f t="shared" si="12"/>
        <v>10.631214103807773</v>
      </c>
      <c r="AK18" s="107">
        <f t="shared" si="12"/>
        <v>10.252571792384446</v>
      </c>
      <c r="AL18" s="107">
        <f t="shared" si="12"/>
        <v>10.757428207615549</v>
      </c>
      <c r="AM18" s="107">
        <f t="shared" si="12"/>
        <v>10.12635768857667</v>
      </c>
      <c r="AN18" s="107">
        <f t="shared" si="12"/>
        <v>10.883642311423325</v>
      </c>
      <c r="AO18" s="107">
        <f t="shared" si="12"/>
        <v>10.504999999999997</v>
      </c>
      <c r="AP18" s="95"/>
      <c r="AQ18" s="95">
        <f t="shared" si="3"/>
        <v>0</v>
      </c>
      <c r="AR18" s="95">
        <f t="shared" si="4"/>
        <v>0</v>
      </c>
      <c r="AV18" s="93" t="s">
        <v>36</v>
      </c>
      <c r="AW18" s="98">
        <f>Mittelwert</f>
        <v>10.504999999999997</v>
      </c>
      <c r="AX18" s="93">
        <v>3</v>
      </c>
      <c r="AY18" s="91"/>
      <c r="AZ18" s="91"/>
      <c r="BC18" s="94">
        <v>14</v>
      </c>
      <c r="BD18" s="108">
        <f t="shared" si="6"/>
        <v>10.5</v>
      </c>
      <c r="BE18" s="94">
        <f t="shared" si="14"/>
        <v>14</v>
      </c>
      <c r="BF18" s="109">
        <f t="shared" si="7"/>
        <v>0.48419994496701391</v>
      </c>
      <c r="BG18" s="109">
        <f t="shared" si="8"/>
        <v>0.51580005503298609</v>
      </c>
      <c r="BH18" s="109">
        <f t="shared" si="9"/>
        <v>0.51580005503298609</v>
      </c>
      <c r="BI18" s="109">
        <f t="shared" si="10"/>
        <v>-37.456922528357566</v>
      </c>
      <c r="BJ18" s="109">
        <f t="shared" si="11"/>
        <v>4.7491867120323737E-2</v>
      </c>
      <c r="BL18" s="95" t="s">
        <v>57</v>
      </c>
      <c r="BM18" s="109">
        <f>IF(BM12&lt;0.2,1-EXP(-13.436+101.14*BM12-223.73*BM12^2),0)</f>
        <v>0</v>
      </c>
      <c r="BS18" s="110"/>
    </row>
    <row r="19" spans="2:71" s="96" customFormat="1" ht="15.4" x14ac:dyDescent="0.45">
      <c r="B19" s="88">
        <v>15</v>
      </c>
      <c r="C19" s="103">
        <f>IF('Eingabe und Diagramm'!C19="","",'Eingabe und Diagramm'!C19)</f>
        <v>10.8</v>
      </c>
      <c r="D19" s="90"/>
      <c r="E19" s="88">
        <v>65</v>
      </c>
      <c r="F19" s="103" t="str">
        <f>IF('Eingabe und Diagramm'!F19="","",'Eingabe und Diagramm'!F19)</f>
        <v/>
      </c>
      <c r="G19" s="104"/>
      <c r="H19" s="105">
        <v>115</v>
      </c>
      <c r="I19" s="103" t="str">
        <f>IF('Eingabe und Diagramm'!I19="","",'Eingabe und Diagramm'!I19)</f>
        <v/>
      </c>
      <c r="J19" s="104"/>
      <c r="K19" s="105">
        <v>165</v>
      </c>
      <c r="L19" s="103" t="str">
        <f>IF('Eingabe und Diagramm'!L19="","",'Eingabe und Diagramm'!L19)</f>
        <v/>
      </c>
      <c r="M19" s="91"/>
      <c r="N19" s="91"/>
      <c r="O19" s="141" t="s">
        <v>65</v>
      </c>
      <c r="P19" s="146">
        <f>(P10-P9)/(6*P14)</f>
        <v>2.64101493634183</v>
      </c>
      <c r="Q19" s="91"/>
      <c r="R19"/>
      <c r="S19"/>
      <c r="T19"/>
      <c r="U19"/>
      <c r="V19"/>
      <c r="W19"/>
      <c r="X19"/>
      <c r="Y19"/>
      <c r="Z19" s="91"/>
      <c r="AA19" s="92"/>
      <c r="AB19" s="92"/>
      <c r="AC19" s="92"/>
      <c r="AD19" s="106">
        <v>15</v>
      </c>
      <c r="AE19" s="106">
        <f t="shared" si="0"/>
        <v>15</v>
      </c>
      <c r="AF19" s="95">
        <f t="shared" si="16"/>
        <v>10.8</v>
      </c>
      <c r="AG19" s="95">
        <f t="shared" si="1"/>
        <v>12</v>
      </c>
      <c r="AH19" s="95">
        <f t="shared" si="2"/>
        <v>10</v>
      </c>
      <c r="AI19" s="107">
        <f t="shared" si="12"/>
        <v>10.378785896192221</v>
      </c>
      <c r="AJ19" s="107">
        <f t="shared" si="12"/>
        <v>10.631214103807773</v>
      </c>
      <c r="AK19" s="107">
        <f t="shared" si="12"/>
        <v>10.252571792384446</v>
      </c>
      <c r="AL19" s="107">
        <f t="shared" si="12"/>
        <v>10.757428207615549</v>
      </c>
      <c r="AM19" s="107">
        <f t="shared" si="12"/>
        <v>10.12635768857667</v>
      </c>
      <c r="AN19" s="107">
        <f t="shared" si="12"/>
        <v>10.883642311423325</v>
      </c>
      <c r="AO19" s="107">
        <f t="shared" si="12"/>
        <v>10.504999999999997</v>
      </c>
      <c r="AP19" s="95"/>
      <c r="AQ19" s="95">
        <f t="shared" si="3"/>
        <v>0</v>
      </c>
      <c r="AR19" s="95">
        <f t="shared" si="4"/>
        <v>0</v>
      </c>
      <c r="AV19" s="93" t="s">
        <v>37</v>
      </c>
      <c r="AW19" s="98">
        <f>OGW</f>
        <v>12</v>
      </c>
      <c r="AX19" s="93">
        <v>3</v>
      </c>
      <c r="AY19" s="91"/>
      <c r="AZ19" s="91"/>
      <c r="BC19" s="94">
        <v>15</v>
      </c>
      <c r="BD19" s="108">
        <f t="shared" si="6"/>
        <v>10.5</v>
      </c>
      <c r="BE19" s="94">
        <f t="shared" si="14"/>
        <v>15</v>
      </c>
      <c r="BF19" s="109">
        <f t="shared" si="7"/>
        <v>0.48419994496701391</v>
      </c>
      <c r="BG19" s="109">
        <f t="shared" si="8"/>
        <v>0.51580005503298609</v>
      </c>
      <c r="BH19" s="109">
        <f t="shared" si="9"/>
        <v>0.51580005503298609</v>
      </c>
      <c r="BI19" s="109">
        <f t="shared" si="10"/>
        <v>-40.23150938230998</v>
      </c>
      <c r="BJ19" s="109">
        <f t="shared" si="11"/>
        <v>0.14290699209399238</v>
      </c>
      <c r="BS19" s="110"/>
    </row>
    <row r="20" spans="2:71" s="96" customFormat="1" ht="15.4" x14ac:dyDescent="0.45">
      <c r="B20" s="88">
        <v>16</v>
      </c>
      <c r="C20" s="103">
        <f>IF('Eingabe und Diagramm'!C20="","",'Eingabe und Diagramm'!C20)</f>
        <v>10.6</v>
      </c>
      <c r="D20" s="90"/>
      <c r="E20" s="88">
        <v>66</v>
      </c>
      <c r="F20" s="103" t="str">
        <f>IF('Eingabe und Diagramm'!F20="","",'Eingabe und Diagramm'!F20)</f>
        <v/>
      </c>
      <c r="G20" s="104"/>
      <c r="H20" s="105">
        <v>116</v>
      </c>
      <c r="I20" s="103" t="str">
        <f>IF('Eingabe und Diagramm'!I20="","",'Eingabe und Diagramm'!I20)</f>
        <v/>
      </c>
      <c r="J20" s="104"/>
      <c r="K20" s="105">
        <v>166</v>
      </c>
      <c r="L20" s="103" t="str">
        <f>IF('Eingabe und Diagramm'!L20="","",'Eingabe und Diagramm'!L20)</f>
        <v/>
      </c>
      <c r="M20" s="91"/>
      <c r="N20" s="91"/>
      <c r="O20" s="141" t="s">
        <v>66</v>
      </c>
      <c r="P20" s="146">
        <f>MIN(P18,P17)</f>
        <v>1.3337125428526169</v>
      </c>
      <c r="Q20" s="91"/>
      <c r="R20"/>
      <c r="S20"/>
      <c r="T20"/>
      <c r="U20"/>
      <c r="V20"/>
      <c r="W20"/>
      <c r="X20"/>
      <c r="Y20"/>
      <c r="Z20" s="91"/>
      <c r="AA20" s="92"/>
      <c r="AB20" s="92"/>
      <c r="AC20" s="92"/>
      <c r="AD20" s="106">
        <v>16</v>
      </c>
      <c r="AE20" s="106">
        <f t="shared" si="0"/>
        <v>16</v>
      </c>
      <c r="AF20" s="95">
        <f t="shared" si="16"/>
        <v>10.6</v>
      </c>
      <c r="AG20" s="95">
        <f t="shared" si="1"/>
        <v>12</v>
      </c>
      <c r="AH20" s="95">
        <f t="shared" si="2"/>
        <v>10</v>
      </c>
      <c r="AI20" s="107">
        <f t="shared" si="12"/>
        <v>10.378785896192221</v>
      </c>
      <c r="AJ20" s="107">
        <f t="shared" si="12"/>
        <v>10.631214103807773</v>
      </c>
      <c r="AK20" s="107">
        <f t="shared" si="12"/>
        <v>10.252571792384446</v>
      </c>
      <c r="AL20" s="107">
        <f t="shared" si="12"/>
        <v>10.757428207615549</v>
      </c>
      <c r="AM20" s="107">
        <f t="shared" si="12"/>
        <v>10.12635768857667</v>
      </c>
      <c r="AN20" s="107">
        <f t="shared" si="12"/>
        <v>10.883642311423325</v>
      </c>
      <c r="AO20" s="107">
        <f t="shared" si="12"/>
        <v>10.504999999999997</v>
      </c>
      <c r="AP20" s="95"/>
      <c r="AQ20" s="95">
        <f t="shared" si="3"/>
        <v>0</v>
      </c>
      <c r="AR20" s="95">
        <f t="shared" si="4"/>
        <v>0</v>
      </c>
      <c r="AV20" s="93" t="s">
        <v>38</v>
      </c>
      <c r="AW20" s="98">
        <f>UGW</f>
        <v>10</v>
      </c>
      <c r="AX20" s="93">
        <v>3</v>
      </c>
      <c r="AY20" s="91"/>
      <c r="AZ20" s="91"/>
      <c r="BC20" s="94">
        <v>16</v>
      </c>
      <c r="BD20" s="108">
        <f t="shared" si="6"/>
        <v>10.5</v>
      </c>
      <c r="BE20" s="94">
        <f t="shared" si="14"/>
        <v>16</v>
      </c>
      <c r="BF20" s="109">
        <f t="shared" si="7"/>
        <v>0.48419994496701391</v>
      </c>
      <c r="BG20" s="109">
        <f t="shared" si="8"/>
        <v>0.51580005503298609</v>
      </c>
      <c r="BH20" s="109">
        <f t="shared" si="9"/>
        <v>0.51580005503298609</v>
      </c>
      <c r="BI20" s="109">
        <f t="shared" si="10"/>
        <v>-43.006096236262394</v>
      </c>
      <c r="BJ20" s="109">
        <f t="shared" si="11"/>
        <v>0.23964424611500856</v>
      </c>
      <c r="BL20" s="95" t="s">
        <v>55</v>
      </c>
      <c r="BM20" s="109">
        <f>MAX(BM15:BM18)</f>
        <v>6.7608997557445885E-2</v>
      </c>
      <c r="BS20" s="110"/>
    </row>
    <row r="21" spans="2:71" s="96" customFormat="1" ht="14.25" x14ac:dyDescent="0.45">
      <c r="B21" s="88">
        <v>17</v>
      </c>
      <c r="C21" s="103">
        <f>IF('Eingabe und Diagramm'!C21="","",'Eingabe und Diagramm'!C21)</f>
        <v>10.6</v>
      </c>
      <c r="D21" s="90"/>
      <c r="E21" s="88">
        <v>67</v>
      </c>
      <c r="F21" s="103" t="str">
        <f>IF('Eingabe und Diagramm'!F21="","",'Eingabe und Diagramm'!F21)</f>
        <v/>
      </c>
      <c r="G21" s="104"/>
      <c r="H21" s="105">
        <v>117</v>
      </c>
      <c r="I21" s="103" t="str">
        <f>IF('Eingabe und Diagramm'!I21="","",'Eingabe und Diagramm'!I21)</f>
        <v/>
      </c>
      <c r="J21" s="104"/>
      <c r="K21" s="105">
        <v>167</v>
      </c>
      <c r="L21" s="103" t="str">
        <f>IF('Eingabe und Diagramm'!L21="","",'Eingabe und Diagramm'!L21)</f>
        <v/>
      </c>
      <c r="M21" s="91"/>
      <c r="N21" s="111"/>
      <c r="Q21" s="91"/>
      <c r="R21"/>
      <c r="S21"/>
      <c r="T21"/>
      <c r="U21"/>
      <c r="V21"/>
      <c r="W21"/>
      <c r="X21"/>
      <c r="Y21"/>
      <c r="Z21" s="91"/>
      <c r="AA21" s="92"/>
      <c r="AB21" s="92"/>
      <c r="AC21" s="92"/>
      <c r="AD21" s="106">
        <v>17</v>
      </c>
      <c r="AE21" s="106">
        <f t="shared" si="0"/>
        <v>17</v>
      </c>
      <c r="AF21" s="95">
        <f t="shared" si="16"/>
        <v>10.6</v>
      </c>
      <c r="AG21" s="95">
        <f t="shared" si="1"/>
        <v>12</v>
      </c>
      <c r="AH21" s="95">
        <f t="shared" si="2"/>
        <v>10</v>
      </c>
      <c r="AI21" s="107">
        <f t="shared" si="12"/>
        <v>10.378785896192221</v>
      </c>
      <c r="AJ21" s="107">
        <f t="shared" si="12"/>
        <v>10.631214103807773</v>
      </c>
      <c r="AK21" s="107">
        <f t="shared" si="12"/>
        <v>10.252571792384446</v>
      </c>
      <c r="AL21" s="107">
        <f t="shared" si="12"/>
        <v>10.757428207615549</v>
      </c>
      <c r="AM21" s="107">
        <f t="shared" si="12"/>
        <v>10.12635768857667</v>
      </c>
      <c r="AN21" s="107">
        <f t="shared" si="12"/>
        <v>10.883642311423325</v>
      </c>
      <c r="AO21" s="107">
        <f t="shared" si="12"/>
        <v>10.504999999999997</v>
      </c>
      <c r="AP21" s="95"/>
      <c r="AQ21" s="95">
        <f t="shared" si="3"/>
        <v>0</v>
      </c>
      <c r="AR21" s="95">
        <f t="shared" si="4"/>
        <v>0</v>
      </c>
      <c r="AV21" s="93" t="s">
        <v>39</v>
      </c>
      <c r="AW21" s="98">
        <f>Sollwert</f>
        <v>11</v>
      </c>
      <c r="AX21" s="93">
        <v>3</v>
      </c>
      <c r="AY21" s="91"/>
      <c r="AZ21" s="91"/>
      <c r="BC21" s="94">
        <v>17</v>
      </c>
      <c r="BD21" s="108">
        <f t="shared" si="6"/>
        <v>10.5</v>
      </c>
      <c r="BE21" s="94">
        <f t="shared" si="14"/>
        <v>17</v>
      </c>
      <c r="BF21" s="109">
        <f t="shared" si="7"/>
        <v>0.48419994496701391</v>
      </c>
      <c r="BG21" s="109">
        <f t="shared" si="8"/>
        <v>0.51580005503298609</v>
      </c>
      <c r="BH21" s="109">
        <f t="shared" si="9"/>
        <v>0.51580005503298609</v>
      </c>
      <c r="BI21" s="109">
        <f t="shared" si="10"/>
        <v>-45.780683090214808</v>
      </c>
      <c r="BJ21" s="109">
        <f t="shared" si="11"/>
        <v>0.33868308463365293</v>
      </c>
      <c r="BS21" s="110"/>
    </row>
    <row r="22" spans="2:71" s="96" customFormat="1" ht="14.25" x14ac:dyDescent="0.45">
      <c r="B22" s="88">
        <v>18</v>
      </c>
      <c r="C22" s="103">
        <f>IF('Eingabe und Diagramm'!C22="","",'Eingabe und Diagramm'!C22)</f>
        <v>10.5</v>
      </c>
      <c r="D22" s="90"/>
      <c r="E22" s="88">
        <v>68</v>
      </c>
      <c r="F22" s="103" t="str">
        <f>IF('Eingabe und Diagramm'!F22="","",'Eingabe und Diagramm'!F22)</f>
        <v/>
      </c>
      <c r="G22" s="104"/>
      <c r="H22" s="105">
        <v>118</v>
      </c>
      <c r="I22" s="103" t="str">
        <f>IF('Eingabe und Diagramm'!I22="","",'Eingabe und Diagramm'!I22)</f>
        <v/>
      </c>
      <c r="J22" s="104"/>
      <c r="K22" s="105">
        <v>168</v>
      </c>
      <c r="L22" s="103" t="str">
        <f>IF('Eingabe und Diagramm'!L22="","",'Eingabe und Diagramm'!L22)</f>
        <v/>
      </c>
      <c r="M22" s="91"/>
      <c r="N22" s="91"/>
      <c r="O22" s="141" t="str">
        <f>'Eingabe und Diagramm'!N28</f>
        <v>Median z</v>
      </c>
      <c r="P22" s="146">
        <f>MEDIAN(xi)</f>
        <v>10.5</v>
      </c>
      <c r="Q22" s="91"/>
      <c r="R22"/>
      <c r="S22"/>
      <c r="T22"/>
      <c r="U22"/>
      <c r="V22"/>
      <c r="W22"/>
      <c r="X22"/>
      <c r="Y22"/>
      <c r="Z22" s="91"/>
      <c r="AA22" s="92"/>
      <c r="AB22" s="92"/>
      <c r="AC22" s="92"/>
      <c r="AD22" s="106">
        <v>18</v>
      </c>
      <c r="AE22" s="106">
        <f>IF((Anzahl&gt;AD22),AD22,Anzahl)</f>
        <v>18</v>
      </c>
      <c r="AF22" s="95">
        <f t="shared" si="16"/>
        <v>10.5</v>
      </c>
      <c r="AG22" s="95">
        <f t="shared" si="1"/>
        <v>12</v>
      </c>
      <c r="AH22" s="95">
        <f t="shared" si="2"/>
        <v>10</v>
      </c>
      <c r="AI22" s="107">
        <f t="shared" ref="AI22:AO37" si="17">AI21</f>
        <v>10.378785896192221</v>
      </c>
      <c r="AJ22" s="107">
        <f t="shared" si="17"/>
        <v>10.631214103807773</v>
      </c>
      <c r="AK22" s="107">
        <f t="shared" si="17"/>
        <v>10.252571792384446</v>
      </c>
      <c r="AL22" s="107">
        <f t="shared" si="17"/>
        <v>10.757428207615549</v>
      </c>
      <c r="AM22" s="107">
        <f t="shared" si="17"/>
        <v>10.12635768857667</v>
      </c>
      <c r="AN22" s="107">
        <f t="shared" si="17"/>
        <v>10.883642311423325</v>
      </c>
      <c r="AO22" s="107">
        <f t="shared" si="17"/>
        <v>10.504999999999997</v>
      </c>
      <c r="AP22" s="95"/>
      <c r="AQ22" s="95">
        <f t="shared" si="3"/>
        <v>0</v>
      </c>
      <c r="AR22" s="95">
        <f t="shared" si="4"/>
        <v>0</v>
      </c>
      <c r="AV22" s="114"/>
      <c r="AW22" s="114"/>
      <c r="AX22" s="114"/>
      <c r="AY22" s="91"/>
      <c r="AZ22" s="91"/>
      <c r="BC22" s="94">
        <v>18</v>
      </c>
      <c r="BD22" s="108">
        <f t="shared" si="6"/>
        <v>10.6</v>
      </c>
      <c r="BE22" s="94">
        <f t="shared" si="14"/>
        <v>18</v>
      </c>
      <c r="BF22" s="109">
        <f t="shared" si="7"/>
        <v>0.77418166640544162</v>
      </c>
      <c r="BG22" s="109">
        <f t="shared" si="8"/>
        <v>0.22581833359455838</v>
      </c>
      <c r="BH22" s="109">
        <f t="shared" si="9"/>
        <v>0.7972728657154764</v>
      </c>
      <c r="BI22" s="109">
        <f t="shared" si="10"/>
        <v>-16.887745510422434</v>
      </c>
      <c r="BJ22" s="109">
        <f t="shared" si="11"/>
        <v>0.44116864743261897</v>
      </c>
      <c r="BS22" s="110"/>
    </row>
    <row r="23" spans="2:71" s="96" customFormat="1" ht="13.15" x14ac:dyDescent="0.4">
      <c r="B23" s="88">
        <v>19</v>
      </c>
      <c r="C23" s="103">
        <f>IF('Eingabe und Diagramm'!C23="","",'Eingabe und Diagramm'!C23)</f>
        <v>10.3</v>
      </c>
      <c r="D23" s="90"/>
      <c r="E23" s="88">
        <v>69</v>
      </c>
      <c r="F23" s="103" t="str">
        <f>IF('Eingabe und Diagramm'!F23="","",'Eingabe und Diagramm'!F23)</f>
        <v/>
      </c>
      <c r="G23" s="104"/>
      <c r="H23" s="105">
        <v>119</v>
      </c>
      <c r="I23" s="103" t="str">
        <f>IF('Eingabe und Diagramm'!I23="","",'Eingabe und Diagramm'!I23)</f>
        <v/>
      </c>
      <c r="J23" s="104"/>
      <c r="K23" s="105">
        <v>169</v>
      </c>
      <c r="L23" s="103" t="str">
        <f>IF('Eingabe und Diagramm'!L23="","",'Eingabe und Diagramm'!L23)</f>
        <v/>
      </c>
      <c r="M23" s="91"/>
      <c r="N23" s="91"/>
      <c r="O23" s="141" t="str">
        <f>'Eingabe und Diagramm'!N29</f>
        <v>Range R</v>
      </c>
      <c r="P23" s="146">
        <f>Maximum-Minimum</f>
        <v>0.5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2"/>
      <c r="AB23" s="92"/>
      <c r="AC23" s="92"/>
      <c r="AD23" s="106">
        <v>19</v>
      </c>
      <c r="AE23" s="106">
        <f t="shared" si="0"/>
        <v>19</v>
      </c>
      <c r="AF23" s="95">
        <f t="shared" si="16"/>
        <v>10.3</v>
      </c>
      <c r="AG23" s="95">
        <f t="shared" si="1"/>
        <v>12</v>
      </c>
      <c r="AH23" s="95">
        <f t="shared" si="2"/>
        <v>10</v>
      </c>
      <c r="AI23" s="107">
        <f t="shared" si="17"/>
        <v>10.378785896192221</v>
      </c>
      <c r="AJ23" s="107">
        <f t="shared" si="17"/>
        <v>10.631214103807773</v>
      </c>
      <c r="AK23" s="107">
        <f t="shared" si="17"/>
        <v>10.252571792384446</v>
      </c>
      <c r="AL23" s="107">
        <f t="shared" si="17"/>
        <v>10.757428207615549</v>
      </c>
      <c r="AM23" s="107">
        <f t="shared" si="17"/>
        <v>10.12635768857667</v>
      </c>
      <c r="AN23" s="107">
        <f t="shared" si="17"/>
        <v>10.883642311423325</v>
      </c>
      <c r="AO23" s="107">
        <f t="shared" si="17"/>
        <v>10.504999999999997</v>
      </c>
      <c r="AP23" s="95"/>
      <c r="AQ23" s="95">
        <f t="shared" si="3"/>
        <v>0</v>
      </c>
      <c r="AR23" s="95">
        <f t="shared" si="4"/>
        <v>0</v>
      </c>
      <c r="AZ23" s="91"/>
      <c r="BC23" s="94">
        <v>19</v>
      </c>
      <c r="BD23" s="108">
        <f t="shared" si="6"/>
        <v>10.6</v>
      </c>
      <c r="BE23" s="94">
        <f t="shared" si="14"/>
        <v>19</v>
      </c>
      <c r="BF23" s="109">
        <f t="shared" si="7"/>
        <v>0.77418166640544162</v>
      </c>
      <c r="BG23" s="109">
        <f t="shared" si="8"/>
        <v>0.22581833359455838</v>
      </c>
      <c r="BH23" s="109">
        <f t="shared" si="9"/>
        <v>0.7972728657154764</v>
      </c>
      <c r="BI23" s="109">
        <f t="shared" si="10"/>
        <v>-17.852759539589428</v>
      </c>
      <c r="BJ23" s="109">
        <f t="shared" si="11"/>
        <v>0.54852228269809822</v>
      </c>
      <c r="BS23" s="110"/>
    </row>
    <row r="24" spans="2:71" s="96" customFormat="1" ht="13.15" x14ac:dyDescent="0.4">
      <c r="B24" s="88">
        <v>20</v>
      </c>
      <c r="C24" s="103">
        <f>IF('Eingabe und Diagramm'!C24="","",'Eingabe und Diagramm'!C24)</f>
        <v>10.4</v>
      </c>
      <c r="D24" s="90"/>
      <c r="E24" s="88">
        <v>70</v>
      </c>
      <c r="F24" s="103" t="str">
        <f>IF('Eingabe und Diagramm'!F24="","",'Eingabe und Diagramm'!F24)</f>
        <v/>
      </c>
      <c r="G24" s="104"/>
      <c r="H24" s="105">
        <v>120</v>
      </c>
      <c r="I24" s="103" t="str">
        <f>IF('Eingabe und Diagramm'!I24="","",'Eingabe und Diagramm'!I24)</f>
        <v/>
      </c>
      <c r="J24" s="104"/>
      <c r="K24" s="105">
        <v>170</v>
      </c>
      <c r="L24" s="103" t="str">
        <f>IF('Eingabe und Diagramm'!L24="","",'Eingabe und Diagramm'!L24)</f>
        <v/>
      </c>
      <c r="M24" s="91"/>
      <c r="N24" s="91"/>
      <c r="O24" s="141" t="str">
        <f>'Eingabe und Diagramm'!N30</f>
        <v>Minimum</v>
      </c>
      <c r="P24" s="146">
        <f>MIN(xi)</f>
        <v>10.3</v>
      </c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2"/>
      <c r="AB24" s="92"/>
      <c r="AC24" s="92"/>
      <c r="AD24" s="106">
        <v>20</v>
      </c>
      <c r="AE24" s="106">
        <f t="shared" si="0"/>
        <v>20</v>
      </c>
      <c r="AF24" s="95">
        <f t="shared" si="16"/>
        <v>10.4</v>
      </c>
      <c r="AG24" s="95">
        <f t="shared" si="1"/>
        <v>12</v>
      </c>
      <c r="AH24" s="95">
        <f t="shared" si="2"/>
        <v>10</v>
      </c>
      <c r="AI24" s="107">
        <f t="shared" si="17"/>
        <v>10.378785896192221</v>
      </c>
      <c r="AJ24" s="107">
        <f t="shared" si="17"/>
        <v>10.631214103807773</v>
      </c>
      <c r="AK24" s="107">
        <f t="shared" si="17"/>
        <v>10.252571792384446</v>
      </c>
      <c r="AL24" s="107">
        <f t="shared" si="17"/>
        <v>10.757428207615549</v>
      </c>
      <c r="AM24" s="107">
        <f t="shared" si="17"/>
        <v>10.12635768857667</v>
      </c>
      <c r="AN24" s="107">
        <f t="shared" si="17"/>
        <v>10.883642311423325</v>
      </c>
      <c r="AO24" s="107">
        <f t="shared" si="17"/>
        <v>10.504999999999997</v>
      </c>
      <c r="AP24" s="95"/>
      <c r="AQ24" s="95">
        <f t="shared" si="3"/>
        <v>0</v>
      </c>
      <c r="AR24" s="95">
        <f t="shared" si="4"/>
        <v>0</v>
      </c>
      <c r="AZ24" s="91"/>
      <c r="BC24" s="94">
        <v>20</v>
      </c>
      <c r="BD24" s="108">
        <f t="shared" si="6"/>
        <v>10.6</v>
      </c>
      <c r="BE24" s="94">
        <f t="shared" si="14"/>
        <v>20</v>
      </c>
      <c r="BF24" s="109">
        <f t="shared" si="7"/>
        <v>0.77418166640544162</v>
      </c>
      <c r="BG24" s="109">
        <f t="shared" si="8"/>
        <v>0.22581833359455838</v>
      </c>
      <c r="BH24" s="109">
        <f t="shared" si="9"/>
        <v>0.7972728657154764</v>
      </c>
      <c r="BI24" s="109">
        <f t="shared" si="10"/>
        <v>-18.817773568756426</v>
      </c>
      <c r="BJ24" s="109">
        <f t="shared" si="11"/>
        <v>0.66261719051200552</v>
      </c>
      <c r="BS24" s="110"/>
    </row>
    <row r="25" spans="2:71" s="96" customFormat="1" ht="13.15" x14ac:dyDescent="0.4">
      <c r="B25" s="88">
        <v>21</v>
      </c>
      <c r="C25" s="103">
        <f>IF('Eingabe und Diagramm'!C25="","",'Eingabe und Diagramm'!C25)</f>
        <v>10.4</v>
      </c>
      <c r="D25" s="90"/>
      <c r="E25" s="88">
        <v>71</v>
      </c>
      <c r="F25" s="103" t="str">
        <f>IF('Eingabe und Diagramm'!F25="","",'Eingabe und Diagramm'!F25)</f>
        <v/>
      </c>
      <c r="G25" s="104"/>
      <c r="H25" s="105">
        <v>121</v>
      </c>
      <c r="I25" s="103" t="str">
        <f>IF('Eingabe und Diagramm'!I25="","",'Eingabe und Diagramm'!I25)</f>
        <v/>
      </c>
      <c r="J25" s="104"/>
      <c r="K25" s="105">
        <v>171</v>
      </c>
      <c r="L25" s="103" t="str">
        <f>IF('Eingabe und Diagramm'!L25="","",'Eingabe und Diagramm'!L25)</f>
        <v/>
      </c>
      <c r="M25" s="91"/>
      <c r="N25" s="91"/>
      <c r="O25" s="141" t="str">
        <f>'Eingabe und Diagramm'!N31</f>
        <v>Maximum</v>
      </c>
      <c r="P25" s="146">
        <f>MAX(xi)</f>
        <v>10.8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2"/>
      <c r="AB25" s="92"/>
      <c r="AC25" s="92"/>
      <c r="AD25" s="106">
        <v>21</v>
      </c>
      <c r="AE25" s="106">
        <f t="shared" si="0"/>
        <v>21</v>
      </c>
      <c r="AF25" s="95">
        <f t="shared" si="16"/>
        <v>10.4</v>
      </c>
      <c r="AG25" s="95">
        <f t="shared" si="1"/>
        <v>12</v>
      </c>
      <c r="AH25" s="95">
        <f t="shared" si="2"/>
        <v>10</v>
      </c>
      <c r="AI25" s="107">
        <f t="shared" si="17"/>
        <v>10.378785896192221</v>
      </c>
      <c r="AJ25" s="107">
        <f t="shared" si="17"/>
        <v>10.631214103807773</v>
      </c>
      <c r="AK25" s="107">
        <f t="shared" si="17"/>
        <v>10.252571792384446</v>
      </c>
      <c r="AL25" s="107">
        <f t="shared" si="17"/>
        <v>10.757428207615549</v>
      </c>
      <c r="AM25" s="107">
        <f t="shared" si="17"/>
        <v>10.12635768857667</v>
      </c>
      <c r="AN25" s="107">
        <f t="shared" si="17"/>
        <v>10.883642311423325</v>
      </c>
      <c r="AO25" s="107">
        <f t="shared" si="17"/>
        <v>10.504999999999997</v>
      </c>
      <c r="AP25" s="95"/>
      <c r="AQ25" s="95">
        <f t="shared" si="3"/>
        <v>0</v>
      </c>
      <c r="AR25" s="95">
        <f t="shared" si="4"/>
        <v>0</v>
      </c>
      <c r="AZ25" s="91"/>
      <c r="BC25" s="94">
        <v>21</v>
      </c>
      <c r="BD25" s="108">
        <f t="shared" si="6"/>
        <v>10.6</v>
      </c>
      <c r="BE25" s="94">
        <f t="shared" si="14"/>
        <v>21</v>
      </c>
      <c r="BF25" s="109">
        <f t="shared" si="7"/>
        <v>0.77418166640544162</v>
      </c>
      <c r="BG25" s="109">
        <f t="shared" si="8"/>
        <v>0.22581833359455838</v>
      </c>
      <c r="BH25" s="109">
        <f t="shared" si="9"/>
        <v>0.7972728657154764</v>
      </c>
      <c r="BI25" s="109">
        <f t="shared" si="10"/>
        <v>-19.782787597923424</v>
      </c>
      <c r="BJ25" s="109">
        <f t="shared" si="11"/>
        <v>0.78608416291719951</v>
      </c>
      <c r="BS25" s="110"/>
    </row>
    <row r="26" spans="2:71" s="96" customFormat="1" ht="13.15" x14ac:dyDescent="0.4">
      <c r="B26" s="88">
        <v>22</v>
      </c>
      <c r="C26" s="103">
        <f>IF('Eingabe und Diagramm'!C26="","",'Eingabe und Diagramm'!C26)</f>
        <v>10.6</v>
      </c>
      <c r="D26" s="90"/>
      <c r="E26" s="88">
        <v>72</v>
      </c>
      <c r="F26" s="103" t="str">
        <f>IF('Eingabe und Diagramm'!F26="","",'Eingabe und Diagramm'!F26)</f>
        <v/>
      </c>
      <c r="G26" s="104"/>
      <c r="H26" s="105">
        <v>122</v>
      </c>
      <c r="I26" s="103" t="str">
        <f>IF('Eingabe und Diagramm'!I26="","",'Eingabe und Diagramm'!I26)</f>
        <v/>
      </c>
      <c r="J26" s="104"/>
      <c r="K26" s="105">
        <v>172</v>
      </c>
      <c r="L26" s="103" t="str">
        <f>IF('Eingabe und Diagramm'!L26="","",'Eingabe und Diagramm'!L26)</f>
        <v/>
      </c>
      <c r="M26" s="91"/>
      <c r="N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2"/>
      <c r="AB26" s="92"/>
      <c r="AC26" s="92"/>
      <c r="AD26" s="106">
        <v>22</v>
      </c>
      <c r="AE26" s="106">
        <f t="shared" si="0"/>
        <v>22</v>
      </c>
      <c r="AF26" s="95">
        <f t="shared" si="16"/>
        <v>10.6</v>
      </c>
      <c r="AG26" s="95">
        <f t="shared" si="1"/>
        <v>12</v>
      </c>
      <c r="AH26" s="95">
        <f t="shared" si="2"/>
        <v>10</v>
      </c>
      <c r="AI26" s="107">
        <f t="shared" si="17"/>
        <v>10.378785896192221</v>
      </c>
      <c r="AJ26" s="107">
        <f t="shared" si="17"/>
        <v>10.631214103807773</v>
      </c>
      <c r="AK26" s="107">
        <f t="shared" si="17"/>
        <v>10.252571792384446</v>
      </c>
      <c r="AL26" s="107">
        <f t="shared" si="17"/>
        <v>10.757428207615549</v>
      </c>
      <c r="AM26" s="107">
        <f t="shared" si="17"/>
        <v>10.12635768857667</v>
      </c>
      <c r="AN26" s="107">
        <f t="shared" si="17"/>
        <v>10.883642311423325</v>
      </c>
      <c r="AO26" s="107">
        <f t="shared" si="17"/>
        <v>10.504999999999997</v>
      </c>
      <c r="AP26" s="95"/>
      <c r="AQ26" s="95">
        <f t="shared" si="3"/>
        <v>0</v>
      </c>
      <c r="AR26" s="95">
        <f t="shared" si="4"/>
        <v>0</v>
      </c>
      <c r="BC26" s="94">
        <v>22</v>
      </c>
      <c r="BD26" s="108">
        <f t="shared" si="6"/>
        <v>10.6</v>
      </c>
      <c r="BE26" s="94">
        <f t="shared" si="14"/>
        <v>22</v>
      </c>
      <c r="BF26" s="109">
        <f t="shared" si="7"/>
        <v>0.77418166640544162</v>
      </c>
      <c r="BG26" s="109">
        <f t="shared" si="8"/>
        <v>0.22581833359455838</v>
      </c>
      <c r="BH26" s="109">
        <f t="shared" si="9"/>
        <v>0.7972728657154764</v>
      </c>
      <c r="BI26" s="109">
        <f t="shared" si="10"/>
        <v>-20.747801627090418</v>
      </c>
      <c r="BJ26" s="109">
        <f t="shared" si="11"/>
        <v>0.92289753360667104</v>
      </c>
      <c r="BS26" s="110"/>
    </row>
    <row r="27" spans="2:71" s="96" customFormat="1" ht="13.15" x14ac:dyDescent="0.4">
      <c r="B27" s="88">
        <v>23</v>
      </c>
      <c r="C27" s="103">
        <f>IF('Eingabe und Diagramm'!C27="","",'Eingabe und Diagramm'!C27)</f>
        <v>10.7</v>
      </c>
      <c r="D27" s="90"/>
      <c r="E27" s="88">
        <v>73</v>
      </c>
      <c r="F27" s="103" t="str">
        <f>IF('Eingabe und Diagramm'!F27="","",'Eingabe und Diagramm'!F27)</f>
        <v/>
      </c>
      <c r="G27" s="104"/>
      <c r="H27" s="105">
        <v>123</v>
      </c>
      <c r="I27" s="103" t="str">
        <f>IF('Eingabe und Diagramm'!I27="","",'Eingabe und Diagramm'!I27)</f>
        <v/>
      </c>
      <c r="J27" s="104"/>
      <c r="K27" s="105">
        <v>173</v>
      </c>
      <c r="L27" s="103" t="str">
        <f>IF('Eingabe und Diagramm'!L27="","",'Eingabe und Diagramm'!L27)</f>
        <v/>
      </c>
      <c r="M27" s="91"/>
      <c r="N27" s="91"/>
      <c r="O27" s="106"/>
      <c r="P27" s="141" t="s">
        <v>82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2"/>
      <c r="AB27" s="92"/>
      <c r="AC27" s="92"/>
      <c r="AD27" s="106">
        <v>23</v>
      </c>
      <c r="AE27" s="106">
        <f t="shared" si="0"/>
        <v>23</v>
      </c>
      <c r="AF27" s="95">
        <f t="shared" si="16"/>
        <v>10.7</v>
      </c>
      <c r="AG27" s="95">
        <f t="shared" si="1"/>
        <v>12</v>
      </c>
      <c r="AH27" s="95">
        <f t="shared" si="2"/>
        <v>10</v>
      </c>
      <c r="AI27" s="107">
        <f t="shared" si="17"/>
        <v>10.378785896192221</v>
      </c>
      <c r="AJ27" s="107">
        <f t="shared" si="17"/>
        <v>10.631214103807773</v>
      </c>
      <c r="AK27" s="107">
        <f t="shared" si="17"/>
        <v>10.252571792384446</v>
      </c>
      <c r="AL27" s="107">
        <f t="shared" si="17"/>
        <v>10.757428207615549</v>
      </c>
      <c r="AM27" s="107">
        <f t="shared" si="17"/>
        <v>10.12635768857667</v>
      </c>
      <c r="AN27" s="107">
        <f t="shared" si="17"/>
        <v>10.883642311423325</v>
      </c>
      <c r="AO27" s="107">
        <f t="shared" si="17"/>
        <v>10.504999999999997</v>
      </c>
      <c r="AP27" s="95"/>
      <c r="AQ27" s="95">
        <f t="shared" si="3"/>
        <v>0</v>
      </c>
      <c r="AR27" s="95">
        <f t="shared" si="4"/>
        <v>0</v>
      </c>
      <c r="BC27" s="94">
        <v>23</v>
      </c>
      <c r="BD27" s="108">
        <f t="shared" si="6"/>
        <v>10.6</v>
      </c>
      <c r="BE27" s="94">
        <f t="shared" si="14"/>
        <v>23</v>
      </c>
      <c r="BF27" s="109">
        <f t="shared" si="7"/>
        <v>0.77418166640544162</v>
      </c>
      <c r="BG27" s="109">
        <f t="shared" si="8"/>
        <v>0.22581833359455838</v>
      </c>
      <c r="BH27" s="109">
        <f t="shared" si="9"/>
        <v>0.7972728657154764</v>
      </c>
      <c r="BI27" s="109">
        <f t="shared" si="10"/>
        <v>-21.712815656257415</v>
      </c>
      <c r="BJ27" s="109">
        <f t="shared" si="11"/>
        <v>1.0796388586671013</v>
      </c>
    </row>
    <row r="28" spans="2:71" s="96" customFormat="1" ht="15.4" x14ac:dyDescent="0.4">
      <c r="B28" s="88">
        <v>24</v>
      </c>
      <c r="C28" s="103">
        <f>IF('Eingabe und Diagramm'!C28="","",'Eingabe und Diagramm'!C28)</f>
        <v>10.6</v>
      </c>
      <c r="D28" s="90"/>
      <c r="E28" s="88">
        <v>74</v>
      </c>
      <c r="F28" s="103" t="str">
        <f>IF('Eingabe und Diagramm'!F28="","",'Eingabe und Diagramm'!F28)</f>
        <v/>
      </c>
      <c r="G28" s="104"/>
      <c r="H28" s="105">
        <v>124</v>
      </c>
      <c r="I28" s="103" t="str">
        <f>IF('Eingabe und Diagramm'!I28="","",'Eingabe und Diagramm'!I28)</f>
        <v/>
      </c>
      <c r="J28" s="104"/>
      <c r="K28" s="105">
        <v>174</v>
      </c>
      <c r="L28" s="103" t="str">
        <f>IF('Eingabe und Diagramm'!L28="","",'Eingabe und Diagramm'!L28)</f>
        <v/>
      </c>
      <c r="M28" s="91"/>
      <c r="N28" s="91"/>
      <c r="O28" s="154" t="s">
        <v>67</v>
      </c>
      <c r="P28" s="155">
        <f>NORMDIST(UGW,Mittelwert,Standardabweichung,1)*1000000</f>
        <v>31.519338660088092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2"/>
      <c r="AB28" s="92"/>
      <c r="AC28" s="92"/>
      <c r="AD28" s="106">
        <v>24</v>
      </c>
      <c r="AE28" s="106">
        <f t="shared" si="0"/>
        <v>24</v>
      </c>
      <c r="AF28" s="95">
        <f t="shared" si="16"/>
        <v>10.6</v>
      </c>
      <c r="AG28" s="95">
        <f t="shared" si="1"/>
        <v>12</v>
      </c>
      <c r="AH28" s="95">
        <f t="shared" si="2"/>
        <v>10</v>
      </c>
      <c r="AI28" s="107">
        <f t="shared" si="17"/>
        <v>10.378785896192221</v>
      </c>
      <c r="AJ28" s="107">
        <f t="shared" si="17"/>
        <v>10.631214103807773</v>
      </c>
      <c r="AK28" s="107">
        <f t="shared" si="17"/>
        <v>10.252571792384446</v>
      </c>
      <c r="AL28" s="107">
        <f t="shared" si="17"/>
        <v>10.757428207615549</v>
      </c>
      <c r="AM28" s="107">
        <f t="shared" si="17"/>
        <v>10.12635768857667</v>
      </c>
      <c r="AN28" s="107">
        <f t="shared" si="17"/>
        <v>10.883642311423325</v>
      </c>
      <c r="AO28" s="107">
        <f t="shared" si="17"/>
        <v>10.504999999999997</v>
      </c>
      <c r="AP28" s="95"/>
      <c r="AQ28" s="95">
        <f t="shared" si="3"/>
        <v>0</v>
      </c>
      <c r="AR28" s="95">
        <f t="shared" si="4"/>
        <v>0</v>
      </c>
      <c r="BC28" s="94">
        <v>24</v>
      </c>
      <c r="BD28" s="108">
        <f t="shared" si="6"/>
        <v>10.7</v>
      </c>
      <c r="BE28" s="94">
        <f t="shared" si="14"/>
        <v>24</v>
      </c>
      <c r="BF28" s="109">
        <f t="shared" si="7"/>
        <v>0.93882611095015611</v>
      </c>
      <c r="BG28" s="109">
        <f t="shared" si="8"/>
        <v>6.1173889049843888E-2</v>
      </c>
      <c r="BH28" s="109">
        <f t="shared" si="9"/>
        <v>0.91720787039775165</v>
      </c>
      <c r="BI28" s="109">
        <f t="shared" si="10"/>
        <v>-7.0286690226772084</v>
      </c>
      <c r="BJ28" s="109">
        <f t="shared" si="11"/>
        <v>1.2687073653921925</v>
      </c>
    </row>
    <row r="29" spans="2:71" s="96" customFormat="1" ht="15.4" x14ac:dyDescent="0.4">
      <c r="B29" s="88">
        <v>25</v>
      </c>
      <c r="C29" s="103">
        <f>IF('Eingabe und Diagramm'!C29="","",'Eingabe und Diagramm'!C29)</f>
        <v>10.5</v>
      </c>
      <c r="D29" s="90"/>
      <c r="E29" s="88">
        <v>75</v>
      </c>
      <c r="F29" s="103" t="str">
        <f>IF('Eingabe und Diagramm'!F29="","",'Eingabe und Diagramm'!F29)</f>
        <v/>
      </c>
      <c r="G29" s="104"/>
      <c r="H29" s="105">
        <v>125</v>
      </c>
      <c r="I29" s="103" t="str">
        <f>IF('Eingabe und Diagramm'!I29="","",'Eingabe und Diagramm'!I29)</f>
        <v/>
      </c>
      <c r="J29" s="104"/>
      <c r="K29" s="105">
        <v>175</v>
      </c>
      <c r="L29" s="103" t="str">
        <f>IF('Eingabe und Diagramm'!L29="","",'Eingabe und Diagramm'!L29)</f>
        <v/>
      </c>
      <c r="M29" s="91"/>
      <c r="N29" s="91"/>
      <c r="O29" s="154" t="s">
        <v>68</v>
      </c>
      <c r="P29" s="155">
        <f>(1-NORMDIST(OGW,Mittelwert,Standardabweichung,1))*1000000</f>
        <v>0</v>
      </c>
      <c r="Q29" s="91"/>
      <c r="R29" s="160">
        <f>((R33)+(R35))</f>
        <v>3.1519338660088092E-5</v>
      </c>
      <c r="S29" s="91"/>
      <c r="T29" s="91"/>
      <c r="U29" s="91"/>
      <c r="V29" s="91"/>
      <c r="W29" s="91"/>
      <c r="X29" s="91"/>
      <c r="Y29" s="91"/>
      <c r="Z29" s="91"/>
      <c r="AA29" s="92"/>
      <c r="AB29" s="92"/>
      <c r="AC29" s="92"/>
      <c r="AD29" s="106">
        <v>25</v>
      </c>
      <c r="AE29" s="106">
        <f t="shared" si="0"/>
        <v>25</v>
      </c>
      <c r="AF29" s="95">
        <f t="shared" si="16"/>
        <v>10.5</v>
      </c>
      <c r="AG29" s="95">
        <f t="shared" si="1"/>
        <v>12</v>
      </c>
      <c r="AH29" s="95">
        <f t="shared" si="2"/>
        <v>10</v>
      </c>
      <c r="AI29" s="107">
        <f t="shared" si="17"/>
        <v>10.378785896192221</v>
      </c>
      <c r="AJ29" s="107">
        <f t="shared" si="17"/>
        <v>10.631214103807773</v>
      </c>
      <c r="AK29" s="107">
        <f t="shared" si="17"/>
        <v>10.252571792384446</v>
      </c>
      <c r="AL29" s="107">
        <f t="shared" si="17"/>
        <v>10.757428207615549</v>
      </c>
      <c r="AM29" s="107">
        <f t="shared" si="17"/>
        <v>10.12635768857667</v>
      </c>
      <c r="AN29" s="107">
        <f t="shared" si="17"/>
        <v>10.883642311423325</v>
      </c>
      <c r="AO29" s="107">
        <f t="shared" si="17"/>
        <v>10.504999999999997</v>
      </c>
      <c r="AP29" s="95"/>
      <c r="AQ29" s="95">
        <f t="shared" si="3"/>
        <v>0</v>
      </c>
      <c r="AR29" s="95">
        <f t="shared" si="4"/>
        <v>0</v>
      </c>
      <c r="BC29" s="94">
        <v>25</v>
      </c>
      <c r="BD29" s="108">
        <f t="shared" si="6"/>
        <v>10.7</v>
      </c>
      <c r="BE29" s="94">
        <f t="shared" si="14"/>
        <v>25</v>
      </c>
      <c r="BF29" s="109">
        <f t="shared" si="7"/>
        <v>0.93882611095015611</v>
      </c>
      <c r="BG29" s="109">
        <f t="shared" si="8"/>
        <v>6.1173889049843888E-2</v>
      </c>
      <c r="BH29" s="109">
        <f t="shared" si="9"/>
        <v>0.94783601457446687</v>
      </c>
      <c r="BI29" s="109">
        <f t="shared" si="10"/>
        <v>-5.7182399444253527</v>
      </c>
      <c r="BJ29" s="109">
        <f t="shared" si="11"/>
        <v>1.5188991668172824</v>
      </c>
    </row>
    <row r="30" spans="2:71" s="96" customFormat="1" ht="13.15" x14ac:dyDescent="0.4">
      <c r="B30" s="88">
        <v>26</v>
      </c>
      <c r="C30" s="103">
        <f>IF('Eingabe und Diagramm'!C30="","",'Eingabe und Diagramm'!C30)</f>
        <v>10.33</v>
      </c>
      <c r="D30" s="90"/>
      <c r="E30" s="88">
        <v>76</v>
      </c>
      <c r="F30" s="103" t="str">
        <f>IF('Eingabe und Diagramm'!F30="","",'Eingabe und Diagramm'!F30)</f>
        <v/>
      </c>
      <c r="G30" s="104"/>
      <c r="H30" s="105">
        <v>126</v>
      </c>
      <c r="I30" s="103" t="str">
        <f>IF('Eingabe und Diagramm'!I30="","",'Eingabe und Diagramm'!I30)</f>
        <v/>
      </c>
      <c r="J30" s="104"/>
      <c r="K30" s="105">
        <v>176</v>
      </c>
      <c r="L30" s="103" t="str">
        <f>IF('Eingabe und Diagramm'!L30="","",'Eingabe und Diagramm'!L30)</f>
        <v/>
      </c>
      <c r="M30" s="91"/>
      <c r="N30" s="91"/>
      <c r="O30" s="141" t="s">
        <v>2</v>
      </c>
      <c r="P30" s="147">
        <f>BERPOGW+BERPUGW</f>
        <v>31.519338660088092</v>
      </c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2"/>
      <c r="AB30" s="92"/>
      <c r="AC30" s="92"/>
      <c r="AD30" s="106">
        <v>26</v>
      </c>
      <c r="AE30" s="106">
        <f t="shared" si="0"/>
        <v>26</v>
      </c>
      <c r="AF30" s="95">
        <f t="shared" si="16"/>
        <v>10.33</v>
      </c>
      <c r="AG30" s="95">
        <f t="shared" si="1"/>
        <v>12</v>
      </c>
      <c r="AH30" s="95">
        <f t="shared" si="2"/>
        <v>10</v>
      </c>
      <c r="AI30" s="107">
        <f t="shared" si="17"/>
        <v>10.378785896192221</v>
      </c>
      <c r="AJ30" s="107">
        <f t="shared" si="17"/>
        <v>10.631214103807773</v>
      </c>
      <c r="AK30" s="107">
        <f t="shared" si="17"/>
        <v>10.252571792384446</v>
      </c>
      <c r="AL30" s="107">
        <f t="shared" si="17"/>
        <v>10.757428207615549</v>
      </c>
      <c r="AM30" s="107">
        <f t="shared" si="17"/>
        <v>10.12635768857667</v>
      </c>
      <c r="AN30" s="107">
        <f t="shared" si="17"/>
        <v>10.883642311423325</v>
      </c>
      <c r="AO30" s="107">
        <f t="shared" si="17"/>
        <v>10.504999999999997</v>
      </c>
      <c r="AP30" s="95"/>
      <c r="AQ30" s="95">
        <f t="shared" si="3"/>
        <v>0</v>
      </c>
      <c r="AR30" s="95">
        <f t="shared" si="4"/>
        <v>0</v>
      </c>
      <c r="BC30" s="94">
        <v>26</v>
      </c>
      <c r="BD30" s="108">
        <f t="shared" si="6"/>
        <v>10.8</v>
      </c>
      <c r="BE30" s="94">
        <f t="shared" si="14"/>
        <v>26</v>
      </c>
      <c r="BF30" s="109">
        <f t="shared" si="7"/>
        <v>0.99028815844474316</v>
      </c>
      <c r="BG30" s="109">
        <f t="shared" si="8"/>
        <v>9.7118415552568393E-3</v>
      </c>
      <c r="BH30" s="109">
        <f t="shared" si="9"/>
        <v>0.94783601457446687</v>
      </c>
      <c r="BI30" s="109">
        <f t="shared" si="10"/>
        <v>-3.2299871394880308</v>
      </c>
      <c r="BJ30" s="109">
        <f t="shared" si="11"/>
        <v>1.9346740800992503</v>
      </c>
    </row>
    <row r="31" spans="2:71" s="96" customFormat="1" ht="13.15" x14ac:dyDescent="0.4">
      <c r="B31" s="88">
        <v>27</v>
      </c>
      <c r="C31" s="103" t="str">
        <f>IF('Eingabe und Diagramm'!C31="","",'Eingabe und Diagramm'!C31)</f>
        <v/>
      </c>
      <c r="D31" s="90"/>
      <c r="E31" s="88">
        <v>77</v>
      </c>
      <c r="F31" s="103" t="str">
        <f>IF('Eingabe und Diagramm'!F31="","",'Eingabe und Diagramm'!F31)</f>
        <v/>
      </c>
      <c r="G31" s="104"/>
      <c r="H31" s="105">
        <v>127</v>
      </c>
      <c r="I31" s="103" t="str">
        <f>IF('Eingabe und Diagramm'!I31="","",'Eingabe und Diagramm'!I31)</f>
        <v/>
      </c>
      <c r="J31" s="104"/>
      <c r="K31" s="105">
        <v>177</v>
      </c>
      <c r="L31" s="103" t="str">
        <f>IF('Eingabe und Diagramm'!L31="","",'Eingabe und Diagramm'!L31)</f>
        <v/>
      </c>
      <c r="M31" s="91"/>
      <c r="N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92"/>
      <c r="AC31" s="92"/>
      <c r="AD31" s="106">
        <v>27</v>
      </c>
      <c r="AE31" s="106">
        <f t="shared" si="0"/>
        <v>26</v>
      </c>
      <c r="AF31" s="95">
        <f t="shared" si="16"/>
        <v>10.33</v>
      </c>
      <c r="AG31" s="95">
        <f t="shared" si="1"/>
        <v>12</v>
      </c>
      <c r="AH31" s="95">
        <f t="shared" si="2"/>
        <v>10</v>
      </c>
      <c r="AI31" s="107">
        <f t="shared" si="17"/>
        <v>10.378785896192221</v>
      </c>
      <c r="AJ31" s="107">
        <f t="shared" si="17"/>
        <v>10.631214103807773</v>
      </c>
      <c r="AK31" s="107">
        <f t="shared" si="17"/>
        <v>10.252571792384446</v>
      </c>
      <c r="AL31" s="107">
        <f t="shared" si="17"/>
        <v>10.757428207615549</v>
      </c>
      <c r="AM31" s="107">
        <f t="shared" si="17"/>
        <v>10.12635768857667</v>
      </c>
      <c r="AN31" s="107">
        <f t="shared" si="17"/>
        <v>10.883642311423325</v>
      </c>
      <c r="AO31" s="107">
        <f t="shared" si="17"/>
        <v>10.504999999999997</v>
      </c>
      <c r="AP31" s="95"/>
      <c r="AQ31" s="95">
        <f t="shared" si="3"/>
        <v>0</v>
      </c>
      <c r="AR31" s="95">
        <f t="shared" si="4"/>
        <v>0</v>
      </c>
      <c r="BC31" s="94">
        <v>27</v>
      </c>
      <c r="BD31" s="108" t="e">
        <f t="shared" si="6"/>
        <v>#N/A</v>
      </c>
      <c r="BE31" s="94" t="str">
        <f t="shared" si="14"/>
        <v/>
      </c>
      <c r="BF31" s="109" t="str">
        <f t="shared" si="7"/>
        <v/>
      </c>
      <c r="BG31" s="109" t="str">
        <f t="shared" si="8"/>
        <v/>
      </c>
      <c r="BH31" s="109" t="str">
        <f t="shared" si="9"/>
        <v/>
      </c>
      <c r="BI31" s="109" t="str">
        <f t="shared" si="10"/>
        <v/>
      </c>
      <c r="BJ31" s="109" t="e">
        <f t="shared" si="11"/>
        <v>#N/A</v>
      </c>
    </row>
    <row r="32" spans="2:71" s="96" customFormat="1" ht="13.15" x14ac:dyDescent="0.4">
      <c r="B32" s="88">
        <v>28</v>
      </c>
      <c r="C32" s="103" t="str">
        <f>IF('Eingabe und Diagramm'!C32="","",'Eingabe und Diagramm'!C32)</f>
        <v/>
      </c>
      <c r="D32" s="90"/>
      <c r="E32" s="88">
        <v>78</v>
      </c>
      <c r="F32" s="103" t="str">
        <f>IF('Eingabe und Diagramm'!F32="","",'Eingabe und Diagramm'!F32)</f>
        <v/>
      </c>
      <c r="G32" s="104"/>
      <c r="H32" s="105">
        <v>128</v>
      </c>
      <c r="I32" s="103" t="str">
        <f>IF('Eingabe und Diagramm'!I32="","",'Eingabe und Diagramm'!I32)</f>
        <v/>
      </c>
      <c r="J32" s="104"/>
      <c r="K32" s="105">
        <v>178</v>
      </c>
      <c r="L32" s="103" t="str">
        <f>IF('Eingabe und Diagramm'!L32="","",'Eingabe und Diagramm'!L32)</f>
        <v/>
      </c>
      <c r="M32" s="91"/>
      <c r="N32" s="91"/>
      <c r="O32" s="93"/>
      <c r="P32" s="141" t="s">
        <v>83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2"/>
      <c r="AB32" s="92"/>
      <c r="AC32" s="92"/>
      <c r="AD32" s="106">
        <v>28</v>
      </c>
      <c r="AE32" s="106">
        <f t="shared" si="0"/>
        <v>26</v>
      </c>
      <c r="AF32" s="95">
        <f t="shared" si="16"/>
        <v>10.33</v>
      </c>
      <c r="AG32" s="95">
        <f t="shared" si="1"/>
        <v>12</v>
      </c>
      <c r="AH32" s="95">
        <f t="shared" si="2"/>
        <v>10</v>
      </c>
      <c r="AI32" s="107">
        <f t="shared" si="17"/>
        <v>10.378785896192221</v>
      </c>
      <c r="AJ32" s="107">
        <f t="shared" si="17"/>
        <v>10.631214103807773</v>
      </c>
      <c r="AK32" s="107">
        <f t="shared" si="17"/>
        <v>10.252571792384446</v>
      </c>
      <c r="AL32" s="107">
        <f t="shared" si="17"/>
        <v>10.757428207615549</v>
      </c>
      <c r="AM32" s="107">
        <f t="shared" si="17"/>
        <v>10.12635768857667</v>
      </c>
      <c r="AN32" s="107">
        <f t="shared" si="17"/>
        <v>10.883642311423325</v>
      </c>
      <c r="AO32" s="107">
        <f t="shared" si="17"/>
        <v>10.504999999999997</v>
      </c>
      <c r="AP32" s="95"/>
      <c r="AQ32" s="95">
        <f t="shared" si="3"/>
        <v>0</v>
      </c>
      <c r="AR32" s="95">
        <f t="shared" si="4"/>
        <v>0</v>
      </c>
      <c r="BC32" s="94">
        <v>28</v>
      </c>
      <c r="BD32" s="108" t="e">
        <f t="shared" si="6"/>
        <v>#N/A</v>
      </c>
      <c r="BE32" s="94" t="str">
        <f t="shared" si="14"/>
        <v/>
      </c>
      <c r="BF32" s="109" t="str">
        <f t="shared" si="7"/>
        <v/>
      </c>
      <c r="BG32" s="109" t="str">
        <f t="shared" si="8"/>
        <v/>
      </c>
      <c r="BH32" s="109" t="str">
        <f t="shared" si="9"/>
        <v/>
      </c>
      <c r="BI32" s="109" t="str">
        <f t="shared" si="10"/>
        <v/>
      </c>
      <c r="BJ32" s="109" t="e">
        <f t="shared" si="11"/>
        <v>#N/A</v>
      </c>
    </row>
    <row r="33" spans="2:62" s="96" customFormat="1" ht="15.4" x14ac:dyDescent="0.4">
      <c r="B33" s="88">
        <v>29</v>
      </c>
      <c r="C33" s="103" t="str">
        <f>IF('Eingabe und Diagramm'!C33="","",'Eingabe und Diagramm'!C33)</f>
        <v/>
      </c>
      <c r="D33" s="90"/>
      <c r="E33" s="88">
        <v>79</v>
      </c>
      <c r="F33" s="103" t="str">
        <f>IF('Eingabe und Diagramm'!F33="","",'Eingabe und Diagramm'!F33)</f>
        <v/>
      </c>
      <c r="G33" s="104"/>
      <c r="H33" s="105">
        <v>129</v>
      </c>
      <c r="I33" s="103" t="str">
        <f>IF('Eingabe und Diagramm'!I33="","",'Eingabe und Diagramm'!I33)</f>
        <v/>
      </c>
      <c r="J33" s="104"/>
      <c r="K33" s="105">
        <v>179</v>
      </c>
      <c r="L33" s="103" t="str">
        <f>IF('Eingabe und Diagramm'!L33="","",'Eingabe und Diagramm'!L33)</f>
        <v/>
      </c>
      <c r="M33" s="91"/>
      <c r="N33" s="91"/>
      <c r="O33" s="141" t="s">
        <v>67</v>
      </c>
      <c r="P33" s="147">
        <f>AQ205/P12*1000000</f>
        <v>0</v>
      </c>
      <c r="Q33" s="91"/>
      <c r="R33" s="160">
        <f>_xlfn.NORM.DIST(P9,Mittelwert,Standardabweichung,1)</f>
        <v>3.1519338660088092E-5</v>
      </c>
      <c r="S33" s="91"/>
      <c r="T33" s="91"/>
      <c r="U33" s="91"/>
      <c r="V33" s="91"/>
      <c r="W33" s="91"/>
      <c r="X33" s="91"/>
      <c r="Y33" s="91"/>
      <c r="Z33" s="91"/>
      <c r="AA33" s="92"/>
      <c r="AB33" s="92"/>
      <c r="AC33" s="92"/>
      <c r="AD33" s="106">
        <v>29</v>
      </c>
      <c r="AE33" s="106">
        <f t="shared" si="0"/>
        <v>26</v>
      </c>
      <c r="AF33" s="95">
        <f t="shared" si="16"/>
        <v>10.33</v>
      </c>
      <c r="AG33" s="95">
        <f t="shared" si="1"/>
        <v>12</v>
      </c>
      <c r="AH33" s="95">
        <f t="shared" si="2"/>
        <v>10</v>
      </c>
      <c r="AI33" s="107">
        <f t="shared" si="17"/>
        <v>10.378785896192221</v>
      </c>
      <c r="AJ33" s="107">
        <f t="shared" si="17"/>
        <v>10.631214103807773</v>
      </c>
      <c r="AK33" s="107">
        <f t="shared" si="17"/>
        <v>10.252571792384446</v>
      </c>
      <c r="AL33" s="107">
        <f t="shared" si="17"/>
        <v>10.757428207615549</v>
      </c>
      <c r="AM33" s="107">
        <f t="shared" si="17"/>
        <v>10.12635768857667</v>
      </c>
      <c r="AN33" s="107">
        <f t="shared" si="17"/>
        <v>10.883642311423325</v>
      </c>
      <c r="AO33" s="107">
        <f t="shared" si="17"/>
        <v>10.504999999999997</v>
      </c>
      <c r="AP33" s="95"/>
      <c r="AQ33" s="95">
        <f t="shared" si="3"/>
        <v>0</v>
      </c>
      <c r="AR33" s="95">
        <f t="shared" si="4"/>
        <v>0</v>
      </c>
      <c r="BC33" s="94">
        <v>29</v>
      </c>
      <c r="BD33" s="108" t="e">
        <f t="shared" si="6"/>
        <v>#N/A</v>
      </c>
      <c r="BE33" s="94" t="str">
        <f t="shared" si="14"/>
        <v/>
      </c>
      <c r="BF33" s="109" t="str">
        <f t="shared" si="7"/>
        <v/>
      </c>
      <c r="BG33" s="109" t="str">
        <f t="shared" si="8"/>
        <v/>
      </c>
      <c r="BH33" s="109" t="str">
        <f t="shared" si="9"/>
        <v/>
      </c>
      <c r="BI33" s="109" t="str">
        <f t="shared" si="10"/>
        <v/>
      </c>
      <c r="BJ33" s="109" t="e">
        <f t="shared" si="11"/>
        <v>#N/A</v>
      </c>
    </row>
    <row r="34" spans="2:62" s="96" customFormat="1" ht="15.4" x14ac:dyDescent="0.4">
      <c r="B34" s="88">
        <v>30</v>
      </c>
      <c r="C34" s="103" t="str">
        <f>IF('Eingabe und Diagramm'!C34="","",'Eingabe und Diagramm'!C34)</f>
        <v/>
      </c>
      <c r="D34" s="90"/>
      <c r="E34" s="88">
        <v>80</v>
      </c>
      <c r="F34" s="103" t="str">
        <f>IF('Eingabe und Diagramm'!F34="","",'Eingabe und Diagramm'!F34)</f>
        <v/>
      </c>
      <c r="G34" s="104"/>
      <c r="H34" s="105">
        <v>130</v>
      </c>
      <c r="I34" s="103" t="str">
        <f>IF('Eingabe und Diagramm'!I34="","",'Eingabe und Diagramm'!I34)</f>
        <v/>
      </c>
      <c r="J34" s="104"/>
      <c r="K34" s="105">
        <v>180</v>
      </c>
      <c r="L34" s="103" t="str">
        <f>IF('Eingabe und Diagramm'!L34="","",'Eingabe und Diagramm'!L34)</f>
        <v/>
      </c>
      <c r="M34" s="91"/>
      <c r="N34" s="91"/>
      <c r="O34" s="141" t="s">
        <v>68</v>
      </c>
      <c r="P34" s="147">
        <f>AR205/P12*1000000</f>
        <v>0</v>
      </c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2"/>
      <c r="AB34" s="92"/>
      <c r="AC34" s="92"/>
      <c r="AD34" s="106">
        <v>30</v>
      </c>
      <c r="AE34" s="106">
        <f t="shared" si="0"/>
        <v>26</v>
      </c>
      <c r="AF34" s="95">
        <f t="shared" si="16"/>
        <v>10.33</v>
      </c>
      <c r="AG34" s="95">
        <f t="shared" si="1"/>
        <v>12</v>
      </c>
      <c r="AH34" s="95">
        <f t="shared" si="2"/>
        <v>10</v>
      </c>
      <c r="AI34" s="107">
        <f t="shared" si="17"/>
        <v>10.378785896192221</v>
      </c>
      <c r="AJ34" s="107">
        <f t="shared" si="17"/>
        <v>10.631214103807773</v>
      </c>
      <c r="AK34" s="107">
        <f t="shared" si="17"/>
        <v>10.252571792384446</v>
      </c>
      <c r="AL34" s="107">
        <f t="shared" si="17"/>
        <v>10.757428207615549</v>
      </c>
      <c r="AM34" s="107">
        <f t="shared" si="17"/>
        <v>10.12635768857667</v>
      </c>
      <c r="AN34" s="107">
        <f t="shared" si="17"/>
        <v>10.883642311423325</v>
      </c>
      <c r="AO34" s="107">
        <f t="shared" si="17"/>
        <v>10.504999999999997</v>
      </c>
      <c r="AP34" s="95"/>
      <c r="AQ34" s="95">
        <f t="shared" si="3"/>
        <v>0</v>
      </c>
      <c r="AR34" s="95">
        <f t="shared" si="4"/>
        <v>0</v>
      </c>
      <c r="BC34" s="94">
        <v>30</v>
      </c>
      <c r="BD34" s="108" t="e">
        <f t="shared" si="6"/>
        <v>#N/A</v>
      </c>
      <c r="BE34" s="94" t="str">
        <f t="shared" si="14"/>
        <v/>
      </c>
      <c r="BF34" s="109" t="str">
        <f t="shared" si="7"/>
        <v/>
      </c>
      <c r="BG34" s="109" t="str">
        <f t="shared" si="8"/>
        <v/>
      </c>
      <c r="BH34" s="109" t="str">
        <f t="shared" si="9"/>
        <v/>
      </c>
      <c r="BI34" s="109" t="str">
        <f t="shared" si="10"/>
        <v/>
      </c>
      <c r="BJ34" s="109" t="e">
        <f t="shared" si="11"/>
        <v>#N/A</v>
      </c>
    </row>
    <row r="35" spans="2:62" s="96" customFormat="1" ht="13.15" x14ac:dyDescent="0.4">
      <c r="B35" s="88">
        <v>31</v>
      </c>
      <c r="C35" s="103" t="str">
        <f>IF('Eingabe und Diagramm'!C35="","",'Eingabe und Diagramm'!C35)</f>
        <v/>
      </c>
      <c r="D35" s="90"/>
      <c r="E35" s="88">
        <v>81</v>
      </c>
      <c r="F35" s="103" t="str">
        <f>IF('Eingabe und Diagramm'!F35="","",'Eingabe und Diagramm'!F35)</f>
        <v/>
      </c>
      <c r="G35" s="104"/>
      <c r="H35" s="105">
        <v>131</v>
      </c>
      <c r="I35" s="103" t="str">
        <f>IF('Eingabe und Diagramm'!I35="","",'Eingabe und Diagramm'!I35)</f>
        <v/>
      </c>
      <c r="J35" s="104"/>
      <c r="K35" s="105">
        <v>181</v>
      </c>
      <c r="L35" s="103" t="str">
        <f>IF('Eingabe und Diagramm'!L35="","",'Eingabe und Diagramm'!L35)</f>
        <v/>
      </c>
      <c r="M35" s="91"/>
      <c r="N35" s="91"/>
      <c r="O35" s="141" t="s">
        <v>2</v>
      </c>
      <c r="P35" s="147">
        <f>P34+P33</f>
        <v>0</v>
      </c>
      <c r="Q35" s="91"/>
      <c r="R35" s="160">
        <f>(1-(_xlfn.NORM.DIST(P10,Mittelwert,Standardabweichung,1)))</f>
        <v>0</v>
      </c>
      <c r="S35" s="91"/>
      <c r="T35" s="91"/>
      <c r="U35" s="91"/>
      <c r="V35" s="91"/>
      <c r="W35" s="91"/>
      <c r="X35" s="91"/>
      <c r="Y35" s="91"/>
      <c r="Z35" s="91"/>
      <c r="AA35" s="92"/>
      <c r="AB35" s="92"/>
      <c r="AC35" s="92"/>
      <c r="AD35" s="106">
        <v>31</v>
      </c>
      <c r="AE35" s="106">
        <f t="shared" si="0"/>
        <v>26</v>
      </c>
      <c r="AF35" s="95">
        <f t="shared" si="16"/>
        <v>10.33</v>
      </c>
      <c r="AG35" s="95">
        <f t="shared" si="1"/>
        <v>12</v>
      </c>
      <c r="AH35" s="95">
        <f t="shared" si="2"/>
        <v>10</v>
      </c>
      <c r="AI35" s="107">
        <f t="shared" si="17"/>
        <v>10.378785896192221</v>
      </c>
      <c r="AJ35" s="107">
        <f t="shared" si="17"/>
        <v>10.631214103807773</v>
      </c>
      <c r="AK35" s="107">
        <f t="shared" si="17"/>
        <v>10.252571792384446</v>
      </c>
      <c r="AL35" s="107">
        <f t="shared" si="17"/>
        <v>10.757428207615549</v>
      </c>
      <c r="AM35" s="107">
        <f t="shared" si="17"/>
        <v>10.12635768857667</v>
      </c>
      <c r="AN35" s="107">
        <f t="shared" si="17"/>
        <v>10.883642311423325</v>
      </c>
      <c r="AO35" s="107">
        <f t="shared" si="17"/>
        <v>10.504999999999997</v>
      </c>
      <c r="AP35" s="95"/>
      <c r="AQ35" s="95">
        <f t="shared" si="3"/>
        <v>0</v>
      </c>
      <c r="AR35" s="95">
        <f t="shared" si="4"/>
        <v>0</v>
      </c>
      <c r="BC35" s="94">
        <v>31</v>
      </c>
      <c r="BD35" s="108" t="e">
        <f t="shared" si="6"/>
        <v>#N/A</v>
      </c>
      <c r="BE35" s="94" t="str">
        <f t="shared" si="14"/>
        <v/>
      </c>
      <c r="BF35" s="109" t="str">
        <f t="shared" si="7"/>
        <v/>
      </c>
      <c r="BG35" s="109" t="str">
        <f t="shared" si="8"/>
        <v/>
      </c>
      <c r="BH35" s="109" t="str">
        <f t="shared" si="9"/>
        <v/>
      </c>
      <c r="BI35" s="109" t="str">
        <f t="shared" si="10"/>
        <v/>
      </c>
      <c r="BJ35" s="109" t="e">
        <f t="shared" si="11"/>
        <v>#N/A</v>
      </c>
    </row>
    <row r="36" spans="2:62" s="96" customFormat="1" ht="13.15" x14ac:dyDescent="0.4">
      <c r="B36" s="88">
        <v>32</v>
      </c>
      <c r="C36" s="103" t="str">
        <f>IF('Eingabe und Diagramm'!C36="","",'Eingabe und Diagramm'!C36)</f>
        <v/>
      </c>
      <c r="D36" s="90"/>
      <c r="E36" s="88">
        <v>82</v>
      </c>
      <c r="F36" s="103" t="str">
        <f>IF('Eingabe und Diagramm'!F36="","",'Eingabe und Diagramm'!F36)</f>
        <v/>
      </c>
      <c r="G36" s="104"/>
      <c r="H36" s="105">
        <v>132</v>
      </c>
      <c r="I36" s="103" t="str">
        <f>IF('Eingabe und Diagramm'!I36="","",'Eingabe und Diagramm'!I36)</f>
        <v/>
      </c>
      <c r="J36" s="104"/>
      <c r="K36" s="105">
        <v>182</v>
      </c>
      <c r="L36" s="103" t="str">
        <f>IF('Eingabe und Diagramm'!L36="","",'Eingabe und Diagramm'!L36)</f>
        <v/>
      </c>
      <c r="M36" s="91"/>
      <c r="N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2"/>
      <c r="AB36" s="92"/>
      <c r="AC36" s="92"/>
      <c r="AD36" s="106">
        <v>32</v>
      </c>
      <c r="AE36" s="106">
        <f t="shared" si="0"/>
        <v>26</v>
      </c>
      <c r="AF36" s="95">
        <f t="shared" si="16"/>
        <v>10.33</v>
      </c>
      <c r="AG36" s="95">
        <f t="shared" si="1"/>
        <v>12</v>
      </c>
      <c r="AH36" s="95">
        <f t="shared" si="2"/>
        <v>10</v>
      </c>
      <c r="AI36" s="107">
        <f t="shared" si="17"/>
        <v>10.378785896192221</v>
      </c>
      <c r="AJ36" s="107">
        <f t="shared" si="17"/>
        <v>10.631214103807773</v>
      </c>
      <c r="AK36" s="107">
        <f t="shared" si="17"/>
        <v>10.252571792384446</v>
      </c>
      <c r="AL36" s="107">
        <f t="shared" si="17"/>
        <v>10.757428207615549</v>
      </c>
      <c r="AM36" s="107">
        <f t="shared" si="17"/>
        <v>10.12635768857667</v>
      </c>
      <c r="AN36" s="107">
        <f t="shared" si="17"/>
        <v>10.883642311423325</v>
      </c>
      <c r="AO36" s="107">
        <f t="shared" si="17"/>
        <v>10.504999999999997</v>
      </c>
      <c r="AP36" s="95"/>
      <c r="AQ36" s="95">
        <f t="shared" si="3"/>
        <v>0</v>
      </c>
      <c r="AR36" s="95">
        <f t="shared" si="4"/>
        <v>0</v>
      </c>
      <c r="BC36" s="94">
        <v>32</v>
      </c>
      <c r="BD36" s="108" t="e">
        <f t="shared" si="6"/>
        <v>#N/A</v>
      </c>
      <c r="BE36" s="94" t="str">
        <f t="shared" si="14"/>
        <v/>
      </c>
      <c r="BF36" s="109" t="str">
        <f t="shared" si="7"/>
        <v/>
      </c>
      <c r="BG36" s="109" t="str">
        <f t="shared" si="8"/>
        <v/>
      </c>
      <c r="BH36" s="109" t="str">
        <f t="shared" si="9"/>
        <v/>
      </c>
      <c r="BI36" s="109" t="str">
        <f t="shared" si="10"/>
        <v/>
      </c>
      <c r="BJ36" s="109" t="e">
        <f t="shared" si="11"/>
        <v>#N/A</v>
      </c>
    </row>
    <row r="37" spans="2:62" s="96" customFormat="1" ht="13.15" x14ac:dyDescent="0.4">
      <c r="B37" s="88">
        <v>33</v>
      </c>
      <c r="C37" s="103" t="str">
        <f>IF('Eingabe und Diagramm'!C37="","",'Eingabe und Diagramm'!C37)</f>
        <v/>
      </c>
      <c r="D37" s="90"/>
      <c r="E37" s="88">
        <v>83</v>
      </c>
      <c r="F37" s="103" t="str">
        <f>IF('Eingabe und Diagramm'!F37="","",'Eingabe und Diagramm'!F37)</f>
        <v/>
      </c>
      <c r="G37" s="104"/>
      <c r="H37" s="105">
        <v>133</v>
      </c>
      <c r="I37" s="103" t="str">
        <f>IF('Eingabe und Diagramm'!I37="","",'Eingabe und Diagramm'!I37)</f>
        <v/>
      </c>
      <c r="J37" s="104"/>
      <c r="K37" s="105">
        <v>183</v>
      </c>
      <c r="L37" s="103" t="str">
        <f>IF('Eingabe und Diagramm'!L37="","",'Eingabe und Diagramm'!L37)</f>
        <v/>
      </c>
      <c r="M37" s="91"/>
      <c r="N37" s="91"/>
      <c r="O37" s="95" t="s">
        <v>84</v>
      </c>
      <c r="P37" s="161">
        <f>(1-(_xlfn.NORM.DIST(P10,Mittelwert,Standardabweichung,1)))+(_xlfn.NORM.DIST(P9,Mittelwert,Standardabweichung,1))</f>
        <v>3.1519338660088092E-5</v>
      </c>
      <c r="Q37" s="91"/>
      <c r="R37" s="160"/>
      <c r="S37" s="91"/>
      <c r="T37" s="91"/>
      <c r="U37" s="91"/>
      <c r="V37" s="91"/>
      <c r="W37" s="91"/>
      <c r="X37" s="91"/>
      <c r="Y37" s="91"/>
      <c r="Z37" s="91"/>
      <c r="AA37" s="92"/>
      <c r="AB37" s="92"/>
      <c r="AC37" s="92"/>
      <c r="AD37" s="106">
        <v>33</v>
      </c>
      <c r="AE37" s="106">
        <f t="shared" ref="AE37:AE68" si="18">IF((Anzahl&gt;AD37),AD37,Anzahl)</f>
        <v>26</v>
      </c>
      <c r="AF37" s="95">
        <f t="shared" si="16"/>
        <v>10.33</v>
      </c>
      <c r="AG37" s="95">
        <f t="shared" ref="AG37:AG68" si="19">IF(C37&lt;&gt;"",OGW,AG36)</f>
        <v>12</v>
      </c>
      <c r="AH37" s="95">
        <f t="shared" ref="AH37:AH68" si="20">IF(C37&lt;&gt;"",UGW,AH36)</f>
        <v>10</v>
      </c>
      <c r="AI37" s="107">
        <f t="shared" si="17"/>
        <v>10.378785896192221</v>
      </c>
      <c r="AJ37" s="107">
        <f t="shared" si="17"/>
        <v>10.631214103807773</v>
      </c>
      <c r="AK37" s="107">
        <f t="shared" si="17"/>
        <v>10.252571792384446</v>
      </c>
      <c r="AL37" s="107">
        <f t="shared" si="17"/>
        <v>10.757428207615549</v>
      </c>
      <c r="AM37" s="107">
        <f t="shared" si="17"/>
        <v>10.12635768857667</v>
      </c>
      <c r="AN37" s="107">
        <f t="shared" si="17"/>
        <v>10.883642311423325</v>
      </c>
      <c r="AO37" s="107">
        <f t="shared" si="17"/>
        <v>10.504999999999997</v>
      </c>
      <c r="AP37" s="95"/>
      <c r="AQ37" s="95">
        <f t="shared" ref="AQ37:AQ68" si="21">IF(AND(C37&lt;&gt;"",C37&lt;UGW),1,0)</f>
        <v>0</v>
      </c>
      <c r="AR37" s="95">
        <f t="shared" ref="AR37:AR68" si="22">IF(AND(C37&lt;&gt;"",C37&gt;OGW),1,0)</f>
        <v>0</v>
      </c>
      <c r="BC37" s="94">
        <v>33</v>
      </c>
      <c r="BD37" s="108" t="e">
        <f t="shared" ref="BD37:BD68" si="23">IF(C37="",NA(),SMALL(xi,BE37))</f>
        <v>#N/A</v>
      </c>
      <c r="BE37" s="94" t="str">
        <f t="shared" si="14"/>
        <v/>
      </c>
      <c r="BF37" s="109" t="str">
        <f t="shared" ref="BF37:BF68" si="24">IF(C37="","",NORMSDIST((BD37-Mittelwert)/Standardabweichung))</f>
        <v/>
      </c>
      <c r="BG37" s="109" t="str">
        <f t="shared" ref="BG37:BG68" si="25">IF(C37="","",1-BF37)</f>
        <v/>
      </c>
      <c r="BH37" s="109" t="str">
        <f t="shared" ref="BH37:BH68" si="26">IF(C37="","",SMALL(BG,BE37))</f>
        <v/>
      </c>
      <c r="BI37" s="109" t="str">
        <f t="shared" ref="BI37:BI68" si="27">IF(C37="","",(2*BE37-1)*(LN(BH37)+LN(BF37)))</f>
        <v/>
      </c>
      <c r="BJ37" s="109" t="e">
        <f t="shared" ref="BJ37:BJ68" si="28">IF(C37="",NA(),NORMSINV((BE37-0.3)/(Anzahl+0.4)))</f>
        <v>#N/A</v>
      </c>
    </row>
    <row r="38" spans="2:62" s="96" customFormat="1" ht="13.15" x14ac:dyDescent="0.4">
      <c r="B38" s="88">
        <v>34</v>
      </c>
      <c r="C38" s="103" t="str">
        <f>IF('Eingabe und Diagramm'!C38="","",'Eingabe und Diagramm'!C38)</f>
        <v/>
      </c>
      <c r="D38" s="90"/>
      <c r="E38" s="88">
        <v>84</v>
      </c>
      <c r="F38" s="103" t="str">
        <f>IF('Eingabe und Diagramm'!F38="","",'Eingabe und Diagramm'!F38)</f>
        <v/>
      </c>
      <c r="G38" s="104"/>
      <c r="H38" s="105">
        <v>134</v>
      </c>
      <c r="I38" s="103" t="str">
        <f>IF('Eingabe und Diagramm'!I38="","",'Eingabe und Diagramm'!I38)</f>
        <v/>
      </c>
      <c r="J38" s="104"/>
      <c r="K38" s="105">
        <v>184</v>
      </c>
      <c r="L38" s="103" t="str">
        <f>IF('Eingabe und Diagramm'!L38="","",'Eingabe und Diagramm'!L38)</f>
        <v/>
      </c>
      <c r="M38" s="91"/>
      <c r="N38" s="91"/>
      <c r="O38" s="95" t="s">
        <v>85</v>
      </c>
      <c r="P38" s="107">
        <f>_xlfn.NORM.INV(1-(1-_xlfn.NORM.DIST(P10,Mittelwert,Standardabweichung,1))-_xlfn.NORM.DIST(P9,Mittelwert,Standardabweichung,1),0,1)</f>
        <v>4.0011376285579114</v>
      </c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2"/>
      <c r="AB38" s="92"/>
      <c r="AC38" s="92"/>
      <c r="AD38" s="106">
        <v>34</v>
      </c>
      <c r="AE38" s="106">
        <f t="shared" si="18"/>
        <v>26</v>
      </c>
      <c r="AF38" s="95">
        <f t="shared" si="16"/>
        <v>10.33</v>
      </c>
      <c r="AG38" s="95">
        <f t="shared" si="19"/>
        <v>12</v>
      </c>
      <c r="AH38" s="95">
        <f t="shared" si="20"/>
        <v>10</v>
      </c>
      <c r="AI38" s="107">
        <f t="shared" ref="AI38:AO53" si="29">AI37</f>
        <v>10.378785896192221</v>
      </c>
      <c r="AJ38" s="107">
        <f t="shared" si="29"/>
        <v>10.631214103807773</v>
      </c>
      <c r="AK38" s="107">
        <f t="shared" si="29"/>
        <v>10.252571792384446</v>
      </c>
      <c r="AL38" s="107">
        <f t="shared" si="29"/>
        <v>10.757428207615549</v>
      </c>
      <c r="AM38" s="107">
        <f t="shared" si="29"/>
        <v>10.12635768857667</v>
      </c>
      <c r="AN38" s="107">
        <f t="shared" si="29"/>
        <v>10.883642311423325</v>
      </c>
      <c r="AO38" s="107">
        <f t="shared" si="29"/>
        <v>10.504999999999997</v>
      </c>
      <c r="AP38" s="95"/>
      <c r="AQ38" s="95">
        <f t="shared" si="21"/>
        <v>0</v>
      </c>
      <c r="AR38" s="95">
        <f t="shared" si="22"/>
        <v>0</v>
      </c>
      <c r="BC38" s="94">
        <v>34</v>
      </c>
      <c r="BD38" s="108" t="e">
        <f t="shared" si="23"/>
        <v>#N/A</v>
      </c>
      <c r="BE38" s="94" t="str">
        <f t="shared" ref="BE38:BE69" si="30">IF(C38="","",1+BE37)</f>
        <v/>
      </c>
      <c r="BF38" s="109" t="str">
        <f t="shared" si="24"/>
        <v/>
      </c>
      <c r="BG38" s="109" t="str">
        <f t="shared" si="25"/>
        <v/>
      </c>
      <c r="BH38" s="109" t="str">
        <f t="shared" si="26"/>
        <v/>
      </c>
      <c r="BI38" s="109" t="str">
        <f t="shared" si="27"/>
        <v/>
      </c>
      <c r="BJ38" s="109" t="e">
        <f t="shared" si="28"/>
        <v>#N/A</v>
      </c>
    </row>
    <row r="39" spans="2:62" s="96" customFormat="1" ht="13.15" x14ac:dyDescent="0.4">
      <c r="B39" s="88">
        <v>35</v>
      </c>
      <c r="C39" s="103" t="str">
        <f>IF('Eingabe und Diagramm'!C39="","",'Eingabe und Diagramm'!C39)</f>
        <v/>
      </c>
      <c r="D39" s="90"/>
      <c r="E39" s="88">
        <v>85</v>
      </c>
      <c r="F39" s="103" t="str">
        <f>IF('Eingabe und Diagramm'!F39="","",'Eingabe und Diagramm'!F39)</f>
        <v/>
      </c>
      <c r="G39" s="104"/>
      <c r="H39" s="105">
        <v>135</v>
      </c>
      <c r="I39" s="103" t="str">
        <f>IF('Eingabe und Diagramm'!I39="","",'Eingabe und Diagramm'!I39)</f>
        <v/>
      </c>
      <c r="J39" s="104"/>
      <c r="K39" s="105">
        <v>185</v>
      </c>
      <c r="L39" s="103" t="str">
        <f>IF('Eingabe und Diagramm'!L39="","",'Eingabe und Diagramm'!L39)</f>
        <v/>
      </c>
      <c r="M39" s="91"/>
      <c r="N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2"/>
      <c r="AB39" s="92"/>
      <c r="AC39" s="92"/>
      <c r="AD39" s="106">
        <v>35</v>
      </c>
      <c r="AE39" s="106">
        <f>IF((Anzahl&gt;AD39),AD39,Anzahl)</f>
        <v>26</v>
      </c>
      <c r="AF39" s="95">
        <f t="shared" si="16"/>
        <v>10.33</v>
      </c>
      <c r="AG39" s="95">
        <f t="shared" si="19"/>
        <v>12</v>
      </c>
      <c r="AH39" s="95">
        <f t="shared" si="20"/>
        <v>10</v>
      </c>
      <c r="AI39" s="107">
        <f t="shared" si="29"/>
        <v>10.378785896192221</v>
      </c>
      <c r="AJ39" s="107">
        <f t="shared" si="29"/>
        <v>10.631214103807773</v>
      </c>
      <c r="AK39" s="107">
        <f t="shared" si="29"/>
        <v>10.252571792384446</v>
      </c>
      <c r="AL39" s="107">
        <f t="shared" si="29"/>
        <v>10.757428207615549</v>
      </c>
      <c r="AM39" s="107">
        <f t="shared" si="29"/>
        <v>10.12635768857667</v>
      </c>
      <c r="AN39" s="107">
        <f t="shared" si="29"/>
        <v>10.883642311423325</v>
      </c>
      <c r="AO39" s="107">
        <f t="shared" si="29"/>
        <v>10.504999999999997</v>
      </c>
      <c r="AP39" s="95"/>
      <c r="AQ39" s="95">
        <f t="shared" si="21"/>
        <v>0</v>
      </c>
      <c r="AR39" s="95">
        <f t="shared" si="22"/>
        <v>0</v>
      </c>
      <c r="BC39" s="94">
        <v>35</v>
      </c>
      <c r="BD39" s="108" t="e">
        <f t="shared" si="23"/>
        <v>#N/A</v>
      </c>
      <c r="BE39" s="94" t="str">
        <f t="shared" si="30"/>
        <v/>
      </c>
      <c r="BF39" s="109" t="str">
        <f t="shared" si="24"/>
        <v/>
      </c>
      <c r="BG39" s="109" t="str">
        <f t="shared" si="25"/>
        <v/>
      </c>
      <c r="BH39" s="109" t="str">
        <f t="shared" si="26"/>
        <v/>
      </c>
      <c r="BI39" s="109" t="str">
        <f t="shared" si="27"/>
        <v/>
      </c>
      <c r="BJ39" s="109" t="e">
        <f t="shared" si="28"/>
        <v>#N/A</v>
      </c>
    </row>
    <row r="40" spans="2:62" s="96" customFormat="1" ht="13.15" x14ac:dyDescent="0.4">
      <c r="B40" s="88">
        <v>36</v>
      </c>
      <c r="C40" s="103" t="str">
        <f>IF('Eingabe und Diagramm'!C40="","",'Eingabe und Diagramm'!C40)</f>
        <v/>
      </c>
      <c r="D40" s="90"/>
      <c r="E40" s="88">
        <v>86</v>
      </c>
      <c r="F40" s="103" t="str">
        <f>IF('Eingabe und Diagramm'!F40="","",'Eingabe und Diagramm'!F40)</f>
        <v/>
      </c>
      <c r="G40" s="104"/>
      <c r="H40" s="105">
        <v>136</v>
      </c>
      <c r="I40" s="103" t="str">
        <f>IF('Eingabe und Diagramm'!I40="","",'Eingabe und Diagramm'!I40)</f>
        <v/>
      </c>
      <c r="J40" s="104"/>
      <c r="K40" s="105">
        <v>186</v>
      </c>
      <c r="L40" s="103" t="str">
        <f>IF('Eingabe und Diagramm'!L40="","",'Eingabe und Diagramm'!L40)</f>
        <v/>
      </c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2"/>
      <c r="AB40" s="92"/>
      <c r="AC40" s="92"/>
      <c r="AD40" s="106">
        <v>36</v>
      </c>
      <c r="AE40" s="106">
        <f t="shared" si="18"/>
        <v>26</v>
      </c>
      <c r="AF40" s="95">
        <f t="shared" si="16"/>
        <v>10.33</v>
      </c>
      <c r="AG40" s="95">
        <f t="shared" si="19"/>
        <v>12</v>
      </c>
      <c r="AH40" s="95">
        <f t="shared" si="20"/>
        <v>10</v>
      </c>
      <c r="AI40" s="107">
        <f t="shared" si="29"/>
        <v>10.378785896192221</v>
      </c>
      <c r="AJ40" s="107">
        <f t="shared" si="29"/>
        <v>10.631214103807773</v>
      </c>
      <c r="AK40" s="107">
        <f t="shared" si="29"/>
        <v>10.252571792384446</v>
      </c>
      <c r="AL40" s="107">
        <f t="shared" si="29"/>
        <v>10.757428207615549</v>
      </c>
      <c r="AM40" s="107">
        <f t="shared" si="29"/>
        <v>10.12635768857667</v>
      </c>
      <c r="AN40" s="107">
        <f t="shared" si="29"/>
        <v>10.883642311423325</v>
      </c>
      <c r="AO40" s="107">
        <f t="shared" si="29"/>
        <v>10.504999999999997</v>
      </c>
      <c r="AP40" s="95"/>
      <c r="AQ40" s="95">
        <f t="shared" si="21"/>
        <v>0</v>
      </c>
      <c r="AR40" s="95">
        <f t="shared" si="22"/>
        <v>0</v>
      </c>
      <c r="BC40" s="94">
        <v>36</v>
      </c>
      <c r="BD40" s="108" t="e">
        <f t="shared" si="23"/>
        <v>#N/A</v>
      </c>
      <c r="BE40" s="94" t="str">
        <f t="shared" si="30"/>
        <v/>
      </c>
      <c r="BF40" s="109" t="str">
        <f t="shared" si="24"/>
        <v/>
      </c>
      <c r="BG40" s="109" t="str">
        <f t="shared" si="25"/>
        <v/>
      </c>
      <c r="BH40" s="109" t="str">
        <f t="shared" si="26"/>
        <v/>
      </c>
      <c r="BI40" s="109" t="str">
        <f t="shared" si="27"/>
        <v/>
      </c>
      <c r="BJ40" s="109" t="e">
        <f t="shared" si="28"/>
        <v>#N/A</v>
      </c>
    </row>
    <row r="41" spans="2:62" s="96" customFormat="1" ht="13.15" x14ac:dyDescent="0.4">
      <c r="B41" s="88">
        <v>37</v>
      </c>
      <c r="C41" s="103" t="str">
        <f>IF('Eingabe und Diagramm'!C41="","",'Eingabe und Diagramm'!C41)</f>
        <v/>
      </c>
      <c r="D41" s="90"/>
      <c r="E41" s="88">
        <v>87</v>
      </c>
      <c r="F41" s="103" t="str">
        <f>IF('Eingabe und Diagramm'!F41="","",'Eingabe und Diagramm'!F41)</f>
        <v/>
      </c>
      <c r="G41" s="104"/>
      <c r="H41" s="105">
        <v>137</v>
      </c>
      <c r="I41" s="103" t="str">
        <f>IF('Eingabe und Diagramm'!I41="","",'Eingabe und Diagramm'!I41)</f>
        <v/>
      </c>
      <c r="J41" s="104"/>
      <c r="K41" s="105">
        <v>187</v>
      </c>
      <c r="L41" s="103" t="str">
        <f>IF('Eingabe und Diagramm'!L41="","",'Eingabe und Diagramm'!L41)</f>
        <v/>
      </c>
      <c r="M41" s="91"/>
      <c r="N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2"/>
      <c r="AB41" s="92"/>
      <c r="AC41" s="92"/>
      <c r="AD41" s="106">
        <v>37</v>
      </c>
      <c r="AE41" s="106">
        <f t="shared" si="18"/>
        <v>26</v>
      </c>
      <c r="AF41" s="95">
        <f t="shared" si="16"/>
        <v>10.33</v>
      </c>
      <c r="AG41" s="95">
        <f t="shared" si="19"/>
        <v>12</v>
      </c>
      <c r="AH41" s="95">
        <f t="shared" si="20"/>
        <v>10</v>
      </c>
      <c r="AI41" s="107">
        <f t="shared" si="29"/>
        <v>10.378785896192221</v>
      </c>
      <c r="AJ41" s="107">
        <f t="shared" si="29"/>
        <v>10.631214103807773</v>
      </c>
      <c r="AK41" s="107">
        <f t="shared" si="29"/>
        <v>10.252571792384446</v>
      </c>
      <c r="AL41" s="107">
        <f t="shared" si="29"/>
        <v>10.757428207615549</v>
      </c>
      <c r="AM41" s="107">
        <f t="shared" si="29"/>
        <v>10.12635768857667</v>
      </c>
      <c r="AN41" s="107">
        <f t="shared" si="29"/>
        <v>10.883642311423325</v>
      </c>
      <c r="AO41" s="107">
        <f t="shared" si="29"/>
        <v>10.504999999999997</v>
      </c>
      <c r="AP41" s="95"/>
      <c r="AQ41" s="95">
        <f t="shared" si="21"/>
        <v>0</v>
      </c>
      <c r="AR41" s="95">
        <f t="shared" si="22"/>
        <v>0</v>
      </c>
      <c r="BC41" s="94">
        <v>37</v>
      </c>
      <c r="BD41" s="108" t="e">
        <f t="shared" si="23"/>
        <v>#N/A</v>
      </c>
      <c r="BE41" s="94" t="str">
        <f t="shared" si="30"/>
        <v/>
      </c>
      <c r="BF41" s="109" t="str">
        <f t="shared" si="24"/>
        <v/>
      </c>
      <c r="BG41" s="109" t="str">
        <f t="shared" si="25"/>
        <v/>
      </c>
      <c r="BH41" s="109" t="str">
        <f t="shared" si="26"/>
        <v/>
      </c>
      <c r="BI41" s="109" t="str">
        <f t="shared" si="27"/>
        <v/>
      </c>
      <c r="BJ41" s="109" t="e">
        <f t="shared" si="28"/>
        <v>#N/A</v>
      </c>
    </row>
    <row r="42" spans="2:62" s="96" customFormat="1" ht="13.15" x14ac:dyDescent="0.4">
      <c r="B42" s="88">
        <v>38</v>
      </c>
      <c r="C42" s="103" t="str">
        <f>IF('Eingabe und Diagramm'!C42="","",'Eingabe und Diagramm'!C42)</f>
        <v/>
      </c>
      <c r="D42" s="90"/>
      <c r="E42" s="88">
        <v>88</v>
      </c>
      <c r="F42" s="103" t="str">
        <f>IF('Eingabe und Diagramm'!F42="","",'Eingabe und Diagramm'!F42)</f>
        <v/>
      </c>
      <c r="G42" s="104"/>
      <c r="H42" s="105">
        <v>138</v>
      </c>
      <c r="I42" s="103" t="str">
        <f>IF('Eingabe und Diagramm'!I42="","",'Eingabe und Diagramm'!I42)</f>
        <v/>
      </c>
      <c r="J42" s="104"/>
      <c r="K42" s="105">
        <v>188</v>
      </c>
      <c r="L42" s="103" t="str">
        <f>IF('Eingabe und Diagramm'!L42="","",'Eingabe und Diagramm'!L42)</f>
        <v/>
      </c>
      <c r="M42" s="91"/>
      <c r="N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2"/>
      <c r="AB42" s="92"/>
      <c r="AC42" s="92"/>
      <c r="AD42" s="106">
        <v>38</v>
      </c>
      <c r="AE42" s="106">
        <f t="shared" si="18"/>
        <v>26</v>
      </c>
      <c r="AF42" s="95">
        <f t="shared" si="16"/>
        <v>10.33</v>
      </c>
      <c r="AG42" s="95">
        <f t="shared" si="19"/>
        <v>12</v>
      </c>
      <c r="AH42" s="95">
        <f t="shared" si="20"/>
        <v>10</v>
      </c>
      <c r="AI42" s="107">
        <f t="shared" si="29"/>
        <v>10.378785896192221</v>
      </c>
      <c r="AJ42" s="107">
        <f t="shared" si="29"/>
        <v>10.631214103807773</v>
      </c>
      <c r="AK42" s="107">
        <f t="shared" si="29"/>
        <v>10.252571792384446</v>
      </c>
      <c r="AL42" s="107">
        <f t="shared" si="29"/>
        <v>10.757428207615549</v>
      </c>
      <c r="AM42" s="107">
        <f t="shared" si="29"/>
        <v>10.12635768857667</v>
      </c>
      <c r="AN42" s="107">
        <f t="shared" si="29"/>
        <v>10.883642311423325</v>
      </c>
      <c r="AO42" s="107">
        <f t="shared" si="29"/>
        <v>10.504999999999997</v>
      </c>
      <c r="AP42" s="95"/>
      <c r="AQ42" s="95">
        <f t="shared" si="21"/>
        <v>0</v>
      </c>
      <c r="AR42" s="95">
        <f t="shared" si="22"/>
        <v>0</v>
      </c>
      <c r="BC42" s="94">
        <v>38</v>
      </c>
      <c r="BD42" s="108" t="e">
        <f t="shared" si="23"/>
        <v>#N/A</v>
      </c>
      <c r="BE42" s="94" t="str">
        <f t="shared" si="30"/>
        <v/>
      </c>
      <c r="BF42" s="109" t="str">
        <f t="shared" si="24"/>
        <v/>
      </c>
      <c r="BG42" s="109" t="str">
        <f t="shared" si="25"/>
        <v/>
      </c>
      <c r="BH42" s="109" t="str">
        <f t="shared" si="26"/>
        <v/>
      </c>
      <c r="BI42" s="109" t="str">
        <f t="shared" si="27"/>
        <v/>
      </c>
      <c r="BJ42" s="109" t="e">
        <f t="shared" si="28"/>
        <v>#N/A</v>
      </c>
    </row>
    <row r="43" spans="2:62" s="96" customFormat="1" ht="13.15" x14ac:dyDescent="0.4">
      <c r="B43" s="88">
        <v>39</v>
      </c>
      <c r="C43" s="103" t="str">
        <f>IF('Eingabe und Diagramm'!C43="","",'Eingabe und Diagramm'!C43)</f>
        <v/>
      </c>
      <c r="D43" s="90"/>
      <c r="E43" s="88">
        <v>89</v>
      </c>
      <c r="F43" s="103" t="str">
        <f>IF('Eingabe und Diagramm'!F43="","",'Eingabe und Diagramm'!F43)</f>
        <v/>
      </c>
      <c r="G43" s="104"/>
      <c r="H43" s="105">
        <v>139</v>
      </c>
      <c r="I43" s="103" t="str">
        <f>IF('Eingabe und Diagramm'!I43="","",'Eingabe und Diagramm'!I43)</f>
        <v/>
      </c>
      <c r="J43" s="104"/>
      <c r="K43" s="105">
        <v>189</v>
      </c>
      <c r="L43" s="103" t="str">
        <f>IF('Eingabe und Diagramm'!L43="","",'Eingabe und Diagramm'!L43)</f>
        <v/>
      </c>
      <c r="M43" s="91"/>
      <c r="N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2"/>
      <c r="AB43" s="92"/>
      <c r="AC43" s="92"/>
      <c r="AD43" s="106">
        <v>39</v>
      </c>
      <c r="AE43" s="106">
        <f t="shared" si="18"/>
        <v>26</v>
      </c>
      <c r="AF43" s="95">
        <f t="shared" si="16"/>
        <v>10.33</v>
      </c>
      <c r="AG43" s="95">
        <f t="shared" si="19"/>
        <v>12</v>
      </c>
      <c r="AH43" s="95">
        <f t="shared" si="20"/>
        <v>10</v>
      </c>
      <c r="AI43" s="107">
        <f t="shared" si="29"/>
        <v>10.378785896192221</v>
      </c>
      <c r="AJ43" s="107">
        <f t="shared" si="29"/>
        <v>10.631214103807773</v>
      </c>
      <c r="AK43" s="107">
        <f t="shared" si="29"/>
        <v>10.252571792384446</v>
      </c>
      <c r="AL43" s="107">
        <f t="shared" si="29"/>
        <v>10.757428207615549</v>
      </c>
      <c r="AM43" s="107">
        <f t="shared" si="29"/>
        <v>10.12635768857667</v>
      </c>
      <c r="AN43" s="107">
        <f t="shared" si="29"/>
        <v>10.883642311423325</v>
      </c>
      <c r="AO43" s="107">
        <f t="shared" si="29"/>
        <v>10.504999999999997</v>
      </c>
      <c r="AP43" s="95"/>
      <c r="AQ43" s="95">
        <f t="shared" si="21"/>
        <v>0</v>
      </c>
      <c r="AR43" s="95">
        <f t="shared" si="22"/>
        <v>0</v>
      </c>
      <c r="BC43" s="94">
        <v>39</v>
      </c>
      <c r="BD43" s="108" t="e">
        <f t="shared" si="23"/>
        <v>#N/A</v>
      </c>
      <c r="BE43" s="94" t="str">
        <f t="shared" si="30"/>
        <v/>
      </c>
      <c r="BF43" s="109" t="str">
        <f t="shared" si="24"/>
        <v/>
      </c>
      <c r="BG43" s="109" t="str">
        <f t="shared" si="25"/>
        <v/>
      </c>
      <c r="BH43" s="109" t="str">
        <f t="shared" si="26"/>
        <v/>
      </c>
      <c r="BI43" s="109" t="str">
        <f t="shared" si="27"/>
        <v/>
      </c>
      <c r="BJ43" s="109" t="e">
        <f t="shared" si="28"/>
        <v>#N/A</v>
      </c>
    </row>
    <row r="44" spans="2:62" s="96" customFormat="1" ht="13.15" x14ac:dyDescent="0.4">
      <c r="B44" s="88">
        <v>40</v>
      </c>
      <c r="C44" s="103" t="str">
        <f>IF('Eingabe und Diagramm'!C44="","",'Eingabe und Diagramm'!C44)</f>
        <v/>
      </c>
      <c r="D44" s="90"/>
      <c r="E44" s="88">
        <v>90</v>
      </c>
      <c r="F44" s="103" t="str">
        <f>IF('Eingabe und Diagramm'!F44="","",'Eingabe und Diagramm'!F44)</f>
        <v/>
      </c>
      <c r="G44" s="104"/>
      <c r="H44" s="105">
        <v>140</v>
      </c>
      <c r="I44" s="103" t="str">
        <f>IF('Eingabe und Diagramm'!I44="","",'Eingabe und Diagramm'!I44)</f>
        <v/>
      </c>
      <c r="J44" s="104"/>
      <c r="K44" s="105">
        <v>190</v>
      </c>
      <c r="L44" s="103" t="str">
        <f>IF('Eingabe und Diagramm'!L44="","",'Eingabe und Diagramm'!L44)</f>
        <v/>
      </c>
      <c r="M44" s="91"/>
      <c r="N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2"/>
      <c r="AB44" s="92"/>
      <c r="AC44" s="92"/>
      <c r="AD44" s="106">
        <v>40</v>
      </c>
      <c r="AE44" s="106">
        <f t="shared" si="18"/>
        <v>26</v>
      </c>
      <c r="AF44" s="95">
        <f t="shared" si="16"/>
        <v>10.33</v>
      </c>
      <c r="AG44" s="95">
        <f t="shared" si="19"/>
        <v>12</v>
      </c>
      <c r="AH44" s="95">
        <f t="shared" si="20"/>
        <v>10</v>
      </c>
      <c r="AI44" s="107">
        <f t="shared" si="29"/>
        <v>10.378785896192221</v>
      </c>
      <c r="AJ44" s="107">
        <f t="shared" si="29"/>
        <v>10.631214103807773</v>
      </c>
      <c r="AK44" s="107">
        <f t="shared" si="29"/>
        <v>10.252571792384446</v>
      </c>
      <c r="AL44" s="107">
        <f t="shared" si="29"/>
        <v>10.757428207615549</v>
      </c>
      <c r="AM44" s="107">
        <f t="shared" si="29"/>
        <v>10.12635768857667</v>
      </c>
      <c r="AN44" s="107">
        <f t="shared" si="29"/>
        <v>10.883642311423325</v>
      </c>
      <c r="AO44" s="107">
        <f t="shared" si="29"/>
        <v>10.504999999999997</v>
      </c>
      <c r="AP44" s="95"/>
      <c r="AQ44" s="95">
        <f t="shared" si="21"/>
        <v>0</v>
      </c>
      <c r="AR44" s="95">
        <f t="shared" si="22"/>
        <v>0</v>
      </c>
      <c r="BC44" s="94">
        <v>40</v>
      </c>
      <c r="BD44" s="108" t="e">
        <f t="shared" si="23"/>
        <v>#N/A</v>
      </c>
      <c r="BE44" s="94" t="str">
        <f t="shared" si="30"/>
        <v/>
      </c>
      <c r="BF44" s="109" t="str">
        <f t="shared" si="24"/>
        <v/>
      </c>
      <c r="BG44" s="109" t="str">
        <f t="shared" si="25"/>
        <v/>
      </c>
      <c r="BH44" s="109" t="str">
        <f t="shared" si="26"/>
        <v/>
      </c>
      <c r="BI44" s="109" t="str">
        <f t="shared" si="27"/>
        <v/>
      </c>
      <c r="BJ44" s="109" t="e">
        <f t="shared" si="28"/>
        <v>#N/A</v>
      </c>
    </row>
    <row r="45" spans="2:62" s="96" customFormat="1" ht="13.15" x14ac:dyDescent="0.4">
      <c r="B45" s="88">
        <v>41</v>
      </c>
      <c r="C45" s="103" t="str">
        <f>IF('Eingabe und Diagramm'!C45="","",'Eingabe und Diagramm'!C45)</f>
        <v/>
      </c>
      <c r="D45" s="90"/>
      <c r="E45" s="88">
        <v>91</v>
      </c>
      <c r="F45" s="103" t="str">
        <f>IF('Eingabe und Diagramm'!F45="","",'Eingabe und Diagramm'!F45)</f>
        <v/>
      </c>
      <c r="G45" s="104"/>
      <c r="H45" s="105">
        <v>141</v>
      </c>
      <c r="I45" s="103" t="str">
        <f>IF('Eingabe und Diagramm'!I45="","",'Eingabe und Diagramm'!I45)</f>
        <v/>
      </c>
      <c r="J45" s="104"/>
      <c r="K45" s="105">
        <v>191</v>
      </c>
      <c r="L45" s="103" t="str">
        <f>IF('Eingabe und Diagramm'!L45="","",'Eingabe und Diagramm'!L45)</f>
        <v/>
      </c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2"/>
      <c r="AB45" s="92"/>
      <c r="AC45" s="92"/>
      <c r="AD45" s="106">
        <v>41</v>
      </c>
      <c r="AE45" s="106">
        <f t="shared" si="18"/>
        <v>26</v>
      </c>
      <c r="AF45" s="95">
        <f t="shared" si="16"/>
        <v>10.33</v>
      </c>
      <c r="AG45" s="95">
        <f t="shared" si="19"/>
        <v>12</v>
      </c>
      <c r="AH45" s="95">
        <f t="shared" si="20"/>
        <v>10</v>
      </c>
      <c r="AI45" s="107">
        <f t="shared" si="29"/>
        <v>10.378785896192221</v>
      </c>
      <c r="AJ45" s="107">
        <f t="shared" si="29"/>
        <v>10.631214103807773</v>
      </c>
      <c r="AK45" s="107">
        <f t="shared" si="29"/>
        <v>10.252571792384446</v>
      </c>
      <c r="AL45" s="107">
        <f t="shared" si="29"/>
        <v>10.757428207615549</v>
      </c>
      <c r="AM45" s="107">
        <f t="shared" si="29"/>
        <v>10.12635768857667</v>
      </c>
      <c r="AN45" s="107">
        <f t="shared" si="29"/>
        <v>10.883642311423325</v>
      </c>
      <c r="AO45" s="107">
        <f t="shared" si="29"/>
        <v>10.504999999999997</v>
      </c>
      <c r="AP45" s="95"/>
      <c r="AQ45" s="95">
        <f t="shared" si="21"/>
        <v>0</v>
      </c>
      <c r="AR45" s="95">
        <f t="shared" si="22"/>
        <v>0</v>
      </c>
      <c r="BC45" s="94">
        <v>41</v>
      </c>
      <c r="BD45" s="108" t="e">
        <f t="shared" si="23"/>
        <v>#N/A</v>
      </c>
      <c r="BE45" s="94" t="str">
        <f t="shared" si="30"/>
        <v/>
      </c>
      <c r="BF45" s="109" t="str">
        <f t="shared" si="24"/>
        <v/>
      </c>
      <c r="BG45" s="109" t="str">
        <f t="shared" si="25"/>
        <v/>
      </c>
      <c r="BH45" s="109" t="str">
        <f t="shared" si="26"/>
        <v/>
      </c>
      <c r="BI45" s="109" t="str">
        <f t="shared" si="27"/>
        <v/>
      </c>
      <c r="BJ45" s="109" t="e">
        <f t="shared" si="28"/>
        <v>#N/A</v>
      </c>
    </row>
    <row r="46" spans="2:62" s="96" customFormat="1" ht="13.15" x14ac:dyDescent="0.4">
      <c r="B46" s="88">
        <v>42</v>
      </c>
      <c r="C46" s="103" t="str">
        <f>IF('Eingabe und Diagramm'!C46="","",'Eingabe und Diagramm'!C46)</f>
        <v/>
      </c>
      <c r="D46" s="90"/>
      <c r="E46" s="88">
        <v>92</v>
      </c>
      <c r="F46" s="103" t="str">
        <f>IF('Eingabe und Diagramm'!F46="","",'Eingabe und Diagramm'!F46)</f>
        <v/>
      </c>
      <c r="G46" s="104"/>
      <c r="H46" s="105">
        <v>142</v>
      </c>
      <c r="I46" s="103" t="str">
        <f>IF('Eingabe und Diagramm'!I46="","",'Eingabe und Diagramm'!I46)</f>
        <v/>
      </c>
      <c r="J46" s="104"/>
      <c r="K46" s="105">
        <v>192</v>
      </c>
      <c r="L46" s="103" t="str">
        <f>IF('Eingabe und Diagramm'!L46="","",'Eingabe und Diagramm'!L46)</f>
        <v/>
      </c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2"/>
      <c r="AB46" s="92"/>
      <c r="AC46" s="92"/>
      <c r="AD46" s="106">
        <v>42</v>
      </c>
      <c r="AE46" s="106">
        <f t="shared" si="18"/>
        <v>26</v>
      </c>
      <c r="AF46" s="95">
        <f t="shared" si="16"/>
        <v>10.33</v>
      </c>
      <c r="AG46" s="95">
        <f t="shared" si="19"/>
        <v>12</v>
      </c>
      <c r="AH46" s="95">
        <f t="shared" si="20"/>
        <v>10</v>
      </c>
      <c r="AI46" s="107">
        <f t="shared" si="29"/>
        <v>10.378785896192221</v>
      </c>
      <c r="AJ46" s="107">
        <f t="shared" si="29"/>
        <v>10.631214103807773</v>
      </c>
      <c r="AK46" s="107">
        <f t="shared" si="29"/>
        <v>10.252571792384446</v>
      </c>
      <c r="AL46" s="107">
        <f t="shared" si="29"/>
        <v>10.757428207615549</v>
      </c>
      <c r="AM46" s="107">
        <f t="shared" si="29"/>
        <v>10.12635768857667</v>
      </c>
      <c r="AN46" s="107">
        <f t="shared" si="29"/>
        <v>10.883642311423325</v>
      </c>
      <c r="AO46" s="107">
        <f t="shared" si="29"/>
        <v>10.504999999999997</v>
      </c>
      <c r="AP46" s="95"/>
      <c r="AQ46" s="95">
        <f t="shared" si="21"/>
        <v>0</v>
      </c>
      <c r="AR46" s="95">
        <f t="shared" si="22"/>
        <v>0</v>
      </c>
      <c r="BC46" s="94">
        <v>42</v>
      </c>
      <c r="BD46" s="108" t="e">
        <f t="shared" si="23"/>
        <v>#N/A</v>
      </c>
      <c r="BE46" s="94" t="str">
        <f t="shared" si="30"/>
        <v/>
      </c>
      <c r="BF46" s="109" t="str">
        <f t="shared" si="24"/>
        <v/>
      </c>
      <c r="BG46" s="109" t="str">
        <f t="shared" si="25"/>
        <v/>
      </c>
      <c r="BH46" s="109" t="str">
        <f t="shared" si="26"/>
        <v/>
      </c>
      <c r="BI46" s="109" t="str">
        <f t="shared" si="27"/>
        <v/>
      </c>
      <c r="BJ46" s="109" t="e">
        <f t="shared" si="28"/>
        <v>#N/A</v>
      </c>
    </row>
    <row r="47" spans="2:62" s="96" customFormat="1" ht="13.15" x14ac:dyDescent="0.4">
      <c r="B47" s="88">
        <v>43</v>
      </c>
      <c r="C47" s="103" t="str">
        <f>IF('Eingabe und Diagramm'!C47="","",'Eingabe und Diagramm'!C47)</f>
        <v/>
      </c>
      <c r="D47" s="90"/>
      <c r="E47" s="88">
        <v>93</v>
      </c>
      <c r="F47" s="103" t="str">
        <f>IF('Eingabe und Diagramm'!F47="","",'Eingabe und Diagramm'!F47)</f>
        <v/>
      </c>
      <c r="G47" s="104"/>
      <c r="H47" s="105">
        <v>143</v>
      </c>
      <c r="I47" s="103" t="str">
        <f>IF('Eingabe und Diagramm'!I47="","",'Eingabe und Diagramm'!I47)</f>
        <v/>
      </c>
      <c r="J47" s="104"/>
      <c r="K47" s="105">
        <v>193</v>
      </c>
      <c r="L47" s="103" t="str">
        <f>IF('Eingabe und Diagramm'!L47="","",'Eingabe und Diagramm'!L47)</f>
        <v/>
      </c>
      <c r="M47" s="91"/>
      <c r="N47" s="115"/>
      <c r="O47" s="115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2"/>
      <c r="AB47" s="92"/>
      <c r="AC47" s="92"/>
      <c r="AD47" s="106">
        <v>43</v>
      </c>
      <c r="AE47" s="106">
        <f t="shared" si="18"/>
        <v>26</v>
      </c>
      <c r="AF47" s="95">
        <f t="shared" si="16"/>
        <v>10.33</v>
      </c>
      <c r="AG47" s="95">
        <f t="shared" si="19"/>
        <v>12</v>
      </c>
      <c r="AH47" s="95">
        <f t="shared" si="20"/>
        <v>10</v>
      </c>
      <c r="AI47" s="107">
        <f t="shared" si="29"/>
        <v>10.378785896192221</v>
      </c>
      <c r="AJ47" s="107">
        <f t="shared" si="29"/>
        <v>10.631214103807773</v>
      </c>
      <c r="AK47" s="107">
        <f t="shared" si="29"/>
        <v>10.252571792384446</v>
      </c>
      <c r="AL47" s="107">
        <f t="shared" si="29"/>
        <v>10.757428207615549</v>
      </c>
      <c r="AM47" s="107">
        <f t="shared" si="29"/>
        <v>10.12635768857667</v>
      </c>
      <c r="AN47" s="107">
        <f t="shared" si="29"/>
        <v>10.883642311423325</v>
      </c>
      <c r="AO47" s="107">
        <f t="shared" si="29"/>
        <v>10.504999999999997</v>
      </c>
      <c r="AP47" s="95"/>
      <c r="AQ47" s="95">
        <f t="shared" si="21"/>
        <v>0</v>
      </c>
      <c r="AR47" s="95">
        <f t="shared" si="22"/>
        <v>0</v>
      </c>
      <c r="BC47" s="94">
        <v>43</v>
      </c>
      <c r="BD47" s="108" t="e">
        <f t="shared" si="23"/>
        <v>#N/A</v>
      </c>
      <c r="BE47" s="94" t="str">
        <f t="shared" si="30"/>
        <v/>
      </c>
      <c r="BF47" s="109" t="str">
        <f t="shared" si="24"/>
        <v/>
      </c>
      <c r="BG47" s="109" t="str">
        <f t="shared" si="25"/>
        <v/>
      </c>
      <c r="BH47" s="109" t="str">
        <f t="shared" si="26"/>
        <v/>
      </c>
      <c r="BI47" s="109" t="str">
        <f t="shared" si="27"/>
        <v/>
      </c>
      <c r="BJ47" s="109" t="e">
        <f t="shared" si="28"/>
        <v>#N/A</v>
      </c>
    </row>
    <row r="48" spans="2:62" s="96" customFormat="1" ht="13.15" x14ac:dyDescent="0.4">
      <c r="B48" s="88">
        <v>44</v>
      </c>
      <c r="C48" s="103" t="str">
        <f>IF('Eingabe und Diagramm'!C48="","",'Eingabe und Diagramm'!C48)</f>
        <v/>
      </c>
      <c r="D48" s="90"/>
      <c r="E48" s="88">
        <v>94</v>
      </c>
      <c r="F48" s="103" t="str">
        <f>IF('Eingabe und Diagramm'!F48="","",'Eingabe und Diagramm'!F48)</f>
        <v/>
      </c>
      <c r="G48" s="104"/>
      <c r="H48" s="105">
        <v>144</v>
      </c>
      <c r="I48" s="103" t="str">
        <f>IF('Eingabe und Diagramm'!I48="","",'Eingabe und Diagramm'!I48)</f>
        <v/>
      </c>
      <c r="J48" s="104"/>
      <c r="K48" s="105">
        <v>194</v>
      </c>
      <c r="L48" s="103" t="str">
        <f>IF('Eingabe und Diagramm'!L48="","",'Eingabe und Diagramm'!L48)</f>
        <v/>
      </c>
      <c r="M48" s="91"/>
      <c r="N48" s="115"/>
      <c r="O48" s="115"/>
      <c r="P48" s="115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2"/>
      <c r="AB48" s="92"/>
      <c r="AC48" s="92"/>
      <c r="AD48" s="106">
        <v>44</v>
      </c>
      <c r="AE48" s="106">
        <f t="shared" si="18"/>
        <v>26</v>
      </c>
      <c r="AF48" s="95">
        <f t="shared" si="16"/>
        <v>10.33</v>
      </c>
      <c r="AG48" s="95">
        <f t="shared" si="19"/>
        <v>12</v>
      </c>
      <c r="AH48" s="95">
        <f t="shared" si="20"/>
        <v>10</v>
      </c>
      <c r="AI48" s="107">
        <f t="shared" si="29"/>
        <v>10.378785896192221</v>
      </c>
      <c r="AJ48" s="107">
        <f t="shared" si="29"/>
        <v>10.631214103807773</v>
      </c>
      <c r="AK48" s="107">
        <f t="shared" si="29"/>
        <v>10.252571792384446</v>
      </c>
      <c r="AL48" s="107">
        <f t="shared" si="29"/>
        <v>10.757428207615549</v>
      </c>
      <c r="AM48" s="107">
        <f t="shared" si="29"/>
        <v>10.12635768857667</v>
      </c>
      <c r="AN48" s="107">
        <f t="shared" si="29"/>
        <v>10.883642311423325</v>
      </c>
      <c r="AO48" s="107">
        <f t="shared" si="29"/>
        <v>10.504999999999997</v>
      </c>
      <c r="AP48" s="95"/>
      <c r="AQ48" s="95">
        <f t="shared" si="21"/>
        <v>0</v>
      </c>
      <c r="AR48" s="95">
        <f t="shared" si="22"/>
        <v>0</v>
      </c>
      <c r="BC48" s="94">
        <v>44</v>
      </c>
      <c r="BD48" s="108" t="e">
        <f t="shared" si="23"/>
        <v>#N/A</v>
      </c>
      <c r="BE48" s="94" t="str">
        <f t="shared" si="30"/>
        <v/>
      </c>
      <c r="BF48" s="109" t="str">
        <f t="shared" si="24"/>
        <v/>
      </c>
      <c r="BG48" s="109" t="str">
        <f t="shared" si="25"/>
        <v/>
      </c>
      <c r="BH48" s="109" t="str">
        <f t="shared" si="26"/>
        <v/>
      </c>
      <c r="BI48" s="109" t="str">
        <f t="shared" si="27"/>
        <v/>
      </c>
      <c r="BJ48" s="109" t="e">
        <f t="shared" si="28"/>
        <v>#N/A</v>
      </c>
    </row>
    <row r="49" spans="2:70" s="96" customFormat="1" ht="13.15" x14ac:dyDescent="0.4">
      <c r="B49" s="88">
        <v>45</v>
      </c>
      <c r="C49" s="103" t="str">
        <f>IF('Eingabe und Diagramm'!C49="","",'Eingabe und Diagramm'!C49)</f>
        <v/>
      </c>
      <c r="D49" s="90"/>
      <c r="E49" s="88">
        <v>95</v>
      </c>
      <c r="F49" s="103" t="str">
        <f>IF('Eingabe und Diagramm'!F49="","",'Eingabe und Diagramm'!F49)</f>
        <v/>
      </c>
      <c r="G49" s="104"/>
      <c r="H49" s="105">
        <v>145</v>
      </c>
      <c r="I49" s="103" t="str">
        <f>IF('Eingabe und Diagramm'!I49="","",'Eingabe und Diagramm'!I49)</f>
        <v/>
      </c>
      <c r="J49" s="104"/>
      <c r="K49" s="105">
        <v>195</v>
      </c>
      <c r="L49" s="103" t="str">
        <f>IF('Eingabe und Diagramm'!L49="","",'Eingabe und Diagramm'!L49)</f>
        <v/>
      </c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2"/>
      <c r="AB49" s="92"/>
      <c r="AC49" s="92"/>
      <c r="AD49" s="106">
        <v>45</v>
      </c>
      <c r="AE49" s="106">
        <f t="shared" si="18"/>
        <v>26</v>
      </c>
      <c r="AF49" s="95">
        <f t="shared" si="16"/>
        <v>10.33</v>
      </c>
      <c r="AG49" s="95">
        <f t="shared" si="19"/>
        <v>12</v>
      </c>
      <c r="AH49" s="95">
        <f t="shared" si="20"/>
        <v>10</v>
      </c>
      <c r="AI49" s="107">
        <f t="shared" si="29"/>
        <v>10.378785896192221</v>
      </c>
      <c r="AJ49" s="107">
        <f t="shared" si="29"/>
        <v>10.631214103807773</v>
      </c>
      <c r="AK49" s="107">
        <f t="shared" si="29"/>
        <v>10.252571792384446</v>
      </c>
      <c r="AL49" s="107">
        <f t="shared" si="29"/>
        <v>10.757428207615549</v>
      </c>
      <c r="AM49" s="107">
        <f t="shared" si="29"/>
        <v>10.12635768857667</v>
      </c>
      <c r="AN49" s="107">
        <f t="shared" si="29"/>
        <v>10.883642311423325</v>
      </c>
      <c r="AO49" s="107">
        <f t="shared" si="29"/>
        <v>10.504999999999997</v>
      </c>
      <c r="AP49" s="95"/>
      <c r="AQ49" s="95">
        <f t="shared" si="21"/>
        <v>0</v>
      </c>
      <c r="AR49" s="95">
        <f t="shared" si="22"/>
        <v>0</v>
      </c>
      <c r="BC49" s="94">
        <v>45</v>
      </c>
      <c r="BD49" s="108" t="e">
        <f t="shared" si="23"/>
        <v>#N/A</v>
      </c>
      <c r="BE49" s="94" t="str">
        <f t="shared" si="30"/>
        <v/>
      </c>
      <c r="BF49" s="109" t="str">
        <f t="shared" si="24"/>
        <v/>
      </c>
      <c r="BG49" s="109" t="str">
        <f t="shared" si="25"/>
        <v/>
      </c>
      <c r="BH49" s="109" t="str">
        <f t="shared" si="26"/>
        <v/>
      </c>
      <c r="BI49" s="109" t="str">
        <f t="shared" si="27"/>
        <v/>
      </c>
      <c r="BJ49" s="109" t="e">
        <f t="shared" si="28"/>
        <v>#N/A</v>
      </c>
    </row>
    <row r="50" spans="2:70" s="96" customFormat="1" ht="13.15" x14ac:dyDescent="0.4">
      <c r="B50" s="88">
        <v>46</v>
      </c>
      <c r="C50" s="103" t="str">
        <f>IF('Eingabe und Diagramm'!C50="","",'Eingabe und Diagramm'!C50)</f>
        <v/>
      </c>
      <c r="D50" s="90"/>
      <c r="E50" s="88">
        <v>96</v>
      </c>
      <c r="F50" s="103" t="str">
        <f>IF('Eingabe und Diagramm'!F50="","",'Eingabe und Diagramm'!F50)</f>
        <v/>
      </c>
      <c r="G50" s="104"/>
      <c r="H50" s="105">
        <v>146</v>
      </c>
      <c r="I50" s="103" t="str">
        <f>IF('Eingabe und Diagramm'!I50="","",'Eingabe und Diagramm'!I50)</f>
        <v/>
      </c>
      <c r="J50" s="104"/>
      <c r="K50" s="105">
        <v>196</v>
      </c>
      <c r="L50" s="103" t="str">
        <f>IF('Eingabe und Diagramm'!L50="","",'Eingabe und Diagramm'!L50)</f>
        <v/>
      </c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2"/>
      <c r="AB50" s="92"/>
      <c r="AC50" s="92"/>
      <c r="AD50" s="106">
        <v>46</v>
      </c>
      <c r="AE50" s="106">
        <f t="shared" si="18"/>
        <v>26</v>
      </c>
      <c r="AF50" s="95">
        <f t="shared" si="16"/>
        <v>10.33</v>
      </c>
      <c r="AG50" s="95">
        <f t="shared" si="19"/>
        <v>12</v>
      </c>
      <c r="AH50" s="95">
        <f t="shared" si="20"/>
        <v>10</v>
      </c>
      <c r="AI50" s="107">
        <f t="shared" si="29"/>
        <v>10.378785896192221</v>
      </c>
      <c r="AJ50" s="107">
        <f t="shared" si="29"/>
        <v>10.631214103807773</v>
      </c>
      <c r="AK50" s="107">
        <f t="shared" si="29"/>
        <v>10.252571792384446</v>
      </c>
      <c r="AL50" s="107">
        <f t="shared" si="29"/>
        <v>10.757428207615549</v>
      </c>
      <c r="AM50" s="107">
        <f t="shared" si="29"/>
        <v>10.12635768857667</v>
      </c>
      <c r="AN50" s="107">
        <f t="shared" si="29"/>
        <v>10.883642311423325</v>
      </c>
      <c r="AO50" s="107">
        <f t="shared" si="29"/>
        <v>10.504999999999997</v>
      </c>
      <c r="AP50" s="95"/>
      <c r="AQ50" s="95">
        <f t="shared" si="21"/>
        <v>0</v>
      </c>
      <c r="AR50" s="95">
        <f t="shared" si="22"/>
        <v>0</v>
      </c>
      <c r="BC50" s="94">
        <v>46</v>
      </c>
      <c r="BD50" s="108" t="e">
        <f t="shared" si="23"/>
        <v>#N/A</v>
      </c>
      <c r="BE50" s="94" t="str">
        <f t="shared" si="30"/>
        <v/>
      </c>
      <c r="BF50" s="109" t="str">
        <f t="shared" si="24"/>
        <v/>
      </c>
      <c r="BG50" s="109" t="str">
        <f t="shared" si="25"/>
        <v/>
      </c>
      <c r="BH50" s="109" t="str">
        <f t="shared" si="26"/>
        <v/>
      </c>
      <c r="BI50" s="109" t="str">
        <f t="shared" si="27"/>
        <v/>
      </c>
      <c r="BJ50" s="109" t="e">
        <f t="shared" si="28"/>
        <v>#N/A</v>
      </c>
    </row>
    <row r="51" spans="2:70" s="96" customFormat="1" ht="13.15" x14ac:dyDescent="0.4">
      <c r="B51" s="88">
        <v>47</v>
      </c>
      <c r="C51" s="103" t="str">
        <f>IF('Eingabe und Diagramm'!C51="","",'Eingabe und Diagramm'!C51)</f>
        <v/>
      </c>
      <c r="D51" s="90"/>
      <c r="E51" s="88">
        <v>97</v>
      </c>
      <c r="F51" s="103" t="str">
        <f>IF('Eingabe und Diagramm'!F51="","",'Eingabe und Diagramm'!F51)</f>
        <v/>
      </c>
      <c r="G51" s="104"/>
      <c r="H51" s="105">
        <v>147</v>
      </c>
      <c r="I51" s="103" t="str">
        <f>IF('Eingabe und Diagramm'!I51="","",'Eingabe und Diagramm'!I51)</f>
        <v/>
      </c>
      <c r="J51" s="104"/>
      <c r="K51" s="105">
        <v>197</v>
      </c>
      <c r="L51" s="103" t="str">
        <f>IF('Eingabe und Diagramm'!L51="","",'Eingabe und Diagramm'!L51)</f>
        <v/>
      </c>
      <c r="M51" s="91"/>
      <c r="N51" s="115"/>
      <c r="O51" s="115"/>
      <c r="P51" s="115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2"/>
      <c r="AB51" s="92"/>
      <c r="AC51" s="92"/>
      <c r="AD51" s="106">
        <v>47</v>
      </c>
      <c r="AE51" s="106">
        <f t="shared" si="18"/>
        <v>26</v>
      </c>
      <c r="AF51" s="95">
        <f t="shared" si="16"/>
        <v>10.33</v>
      </c>
      <c r="AG51" s="95">
        <f t="shared" si="19"/>
        <v>12</v>
      </c>
      <c r="AH51" s="95">
        <f t="shared" si="20"/>
        <v>10</v>
      </c>
      <c r="AI51" s="107">
        <f t="shared" si="29"/>
        <v>10.378785896192221</v>
      </c>
      <c r="AJ51" s="107">
        <f t="shared" si="29"/>
        <v>10.631214103807773</v>
      </c>
      <c r="AK51" s="107">
        <f t="shared" si="29"/>
        <v>10.252571792384446</v>
      </c>
      <c r="AL51" s="107">
        <f t="shared" si="29"/>
        <v>10.757428207615549</v>
      </c>
      <c r="AM51" s="107">
        <f t="shared" si="29"/>
        <v>10.12635768857667</v>
      </c>
      <c r="AN51" s="107">
        <f t="shared" si="29"/>
        <v>10.883642311423325</v>
      </c>
      <c r="AO51" s="107">
        <f t="shared" si="29"/>
        <v>10.504999999999997</v>
      </c>
      <c r="AP51" s="95"/>
      <c r="AQ51" s="95">
        <f t="shared" si="21"/>
        <v>0</v>
      </c>
      <c r="AR51" s="95">
        <f t="shared" si="22"/>
        <v>0</v>
      </c>
      <c r="BC51" s="94">
        <v>47</v>
      </c>
      <c r="BD51" s="108" t="e">
        <f t="shared" si="23"/>
        <v>#N/A</v>
      </c>
      <c r="BE51" s="94" t="str">
        <f t="shared" si="30"/>
        <v/>
      </c>
      <c r="BF51" s="109" t="str">
        <f t="shared" si="24"/>
        <v/>
      </c>
      <c r="BG51" s="109" t="str">
        <f t="shared" si="25"/>
        <v/>
      </c>
      <c r="BH51" s="109" t="str">
        <f t="shared" si="26"/>
        <v/>
      </c>
      <c r="BI51" s="109" t="str">
        <f t="shared" si="27"/>
        <v/>
      </c>
      <c r="BJ51" s="109" t="e">
        <f t="shared" si="28"/>
        <v>#N/A</v>
      </c>
    </row>
    <row r="52" spans="2:70" s="96" customFormat="1" ht="13.15" x14ac:dyDescent="0.4">
      <c r="B52" s="88">
        <v>48</v>
      </c>
      <c r="C52" s="103" t="str">
        <f>IF('Eingabe und Diagramm'!C52="","",'Eingabe und Diagramm'!C52)</f>
        <v/>
      </c>
      <c r="D52" s="90"/>
      <c r="E52" s="88">
        <v>98</v>
      </c>
      <c r="F52" s="103" t="str">
        <f>IF('Eingabe und Diagramm'!F52="","",'Eingabe und Diagramm'!F52)</f>
        <v/>
      </c>
      <c r="G52" s="104"/>
      <c r="H52" s="105">
        <v>148</v>
      </c>
      <c r="I52" s="103" t="str">
        <f>IF('Eingabe und Diagramm'!I52="","",'Eingabe und Diagramm'!I52)</f>
        <v/>
      </c>
      <c r="J52" s="104"/>
      <c r="K52" s="105">
        <v>198</v>
      </c>
      <c r="L52" s="103" t="str">
        <f>IF('Eingabe und Diagramm'!L52="","",'Eingabe und Diagramm'!L52)</f>
        <v/>
      </c>
      <c r="M52" s="91"/>
      <c r="N52" s="115"/>
      <c r="O52" s="115"/>
      <c r="P52" s="115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2"/>
      <c r="AB52" s="92"/>
      <c r="AC52" s="92"/>
      <c r="AD52" s="106">
        <v>48</v>
      </c>
      <c r="AE52" s="106">
        <f t="shared" si="18"/>
        <v>26</v>
      </c>
      <c r="AF52" s="95">
        <f t="shared" si="16"/>
        <v>10.33</v>
      </c>
      <c r="AG52" s="95">
        <f t="shared" si="19"/>
        <v>12</v>
      </c>
      <c r="AH52" s="95">
        <f t="shared" si="20"/>
        <v>10</v>
      </c>
      <c r="AI52" s="107">
        <f t="shared" si="29"/>
        <v>10.378785896192221</v>
      </c>
      <c r="AJ52" s="107">
        <f t="shared" si="29"/>
        <v>10.631214103807773</v>
      </c>
      <c r="AK52" s="107">
        <f t="shared" si="29"/>
        <v>10.252571792384446</v>
      </c>
      <c r="AL52" s="107">
        <f t="shared" si="29"/>
        <v>10.757428207615549</v>
      </c>
      <c r="AM52" s="107">
        <f t="shared" si="29"/>
        <v>10.12635768857667</v>
      </c>
      <c r="AN52" s="107">
        <f t="shared" si="29"/>
        <v>10.883642311423325</v>
      </c>
      <c r="AO52" s="107">
        <f t="shared" si="29"/>
        <v>10.504999999999997</v>
      </c>
      <c r="AP52" s="95"/>
      <c r="AQ52" s="95">
        <f t="shared" si="21"/>
        <v>0</v>
      </c>
      <c r="AR52" s="95">
        <f t="shared" si="22"/>
        <v>0</v>
      </c>
      <c r="BC52" s="94">
        <v>48</v>
      </c>
      <c r="BD52" s="108" t="e">
        <f t="shared" si="23"/>
        <v>#N/A</v>
      </c>
      <c r="BE52" s="94" t="str">
        <f t="shared" si="30"/>
        <v/>
      </c>
      <c r="BF52" s="109" t="str">
        <f t="shared" si="24"/>
        <v/>
      </c>
      <c r="BG52" s="109" t="str">
        <f t="shared" si="25"/>
        <v/>
      </c>
      <c r="BH52" s="109" t="str">
        <f t="shared" si="26"/>
        <v/>
      </c>
      <c r="BI52" s="109" t="str">
        <f t="shared" si="27"/>
        <v/>
      </c>
      <c r="BJ52" s="109" t="e">
        <f t="shared" si="28"/>
        <v>#N/A</v>
      </c>
    </row>
    <row r="53" spans="2:70" s="96" customFormat="1" ht="13.15" x14ac:dyDescent="0.4">
      <c r="B53" s="88">
        <v>49</v>
      </c>
      <c r="C53" s="103" t="str">
        <f>IF('Eingabe und Diagramm'!C53="","",'Eingabe und Diagramm'!C53)</f>
        <v/>
      </c>
      <c r="D53" s="90"/>
      <c r="E53" s="88">
        <v>99</v>
      </c>
      <c r="F53" s="103" t="str">
        <f>IF('Eingabe und Diagramm'!F53="","",'Eingabe und Diagramm'!F53)</f>
        <v/>
      </c>
      <c r="G53" s="104"/>
      <c r="H53" s="105">
        <v>149</v>
      </c>
      <c r="I53" s="103" t="str">
        <f>IF('Eingabe und Diagramm'!I53="","",'Eingabe und Diagramm'!I53)</f>
        <v/>
      </c>
      <c r="J53" s="104"/>
      <c r="K53" s="105">
        <v>199</v>
      </c>
      <c r="L53" s="103" t="str">
        <f>IF('Eingabe und Diagramm'!L53="","",'Eingabe und Diagramm'!L53)</f>
        <v/>
      </c>
      <c r="M53" s="91"/>
      <c r="N53" s="115"/>
      <c r="O53" s="115"/>
      <c r="P53" s="115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2"/>
      <c r="AB53" s="92"/>
      <c r="AC53" s="92"/>
      <c r="AD53" s="106">
        <v>49</v>
      </c>
      <c r="AE53" s="106">
        <f t="shared" si="18"/>
        <v>26</v>
      </c>
      <c r="AF53" s="95">
        <f t="shared" si="16"/>
        <v>10.33</v>
      </c>
      <c r="AG53" s="95">
        <f t="shared" si="19"/>
        <v>12</v>
      </c>
      <c r="AH53" s="95">
        <f t="shared" si="20"/>
        <v>10</v>
      </c>
      <c r="AI53" s="107">
        <f t="shared" si="29"/>
        <v>10.378785896192221</v>
      </c>
      <c r="AJ53" s="107">
        <f t="shared" si="29"/>
        <v>10.631214103807773</v>
      </c>
      <c r="AK53" s="107">
        <f t="shared" si="29"/>
        <v>10.252571792384446</v>
      </c>
      <c r="AL53" s="107">
        <f t="shared" si="29"/>
        <v>10.757428207615549</v>
      </c>
      <c r="AM53" s="107">
        <f t="shared" si="29"/>
        <v>10.12635768857667</v>
      </c>
      <c r="AN53" s="107">
        <f t="shared" si="29"/>
        <v>10.883642311423325</v>
      </c>
      <c r="AO53" s="107">
        <f t="shared" si="29"/>
        <v>10.504999999999997</v>
      </c>
      <c r="AP53" s="95"/>
      <c r="AQ53" s="95">
        <f t="shared" si="21"/>
        <v>0</v>
      </c>
      <c r="AR53" s="95">
        <f t="shared" si="22"/>
        <v>0</v>
      </c>
      <c r="BC53" s="94">
        <v>49</v>
      </c>
      <c r="BD53" s="108" t="e">
        <f t="shared" si="23"/>
        <v>#N/A</v>
      </c>
      <c r="BE53" s="94" t="str">
        <f t="shared" si="30"/>
        <v/>
      </c>
      <c r="BF53" s="109" t="str">
        <f t="shared" si="24"/>
        <v/>
      </c>
      <c r="BG53" s="109" t="str">
        <f t="shared" si="25"/>
        <v/>
      </c>
      <c r="BH53" s="109" t="str">
        <f t="shared" si="26"/>
        <v/>
      </c>
      <c r="BI53" s="109" t="str">
        <f t="shared" si="27"/>
        <v/>
      </c>
      <c r="BJ53" s="109" t="e">
        <f t="shared" si="28"/>
        <v>#N/A</v>
      </c>
    </row>
    <row r="54" spans="2:70" s="91" customFormat="1" ht="13.15" x14ac:dyDescent="0.4">
      <c r="B54" s="93">
        <v>50</v>
      </c>
      <c r="C54" s="116" t="str">
        <f>IF('Eingabe und Diagramm'!C54="","",'Eingabe und Diagramm'!C54)</f>
        <v/>
      </c>
      <c r="D54" s="106"/>
      <c r="E54" s="93">
        <v>100</v>
      </c>
      <c r="F54" s="116" t="str">
        <f>IF('Eingabe und Diagramm'!F54="","",'Eingabe und Diagramm'!F54)</f>
        <v/>
      </c>
      <c r="G54" s="117"/>
      <c r="H54" s="118">
        <v>150</v>
      </c>
      <c r="I54" s="116" t="str">
        <f>IF('Eingabe und Diagramm'!I54="","",'Eingabe und Diagramm'!I54)</f>
        <v/>
      </c>
      <c r="J54" s="117"/>
      <c r="K54" s="118">
        <v>200</v>
      </c>
      <c r="L54" s="116" t="str">
        <f>IF('Eingabe und Diagramm'!L54="","",'Eingabe und Diagramm'!L54)</f>
        <v/>
      </c>
      <c r="N54" s="115"/>
      <c r="O54" s="115"/>
      <c r="P54" s="115"/>
      <c r="AA54" s="92"/>
      <c r="AB54" s="92"/>
      <c r="AC54" s="92"/>
      <c r="AD54" s="106">
        <v>50</v>
      </c>
      <c r="AE54" s="106">
        <f t="shared" si="18"/>
        <v>26</v>
      </c>
      <c r="AF54" s="106">
        <f t="shared" si="16"/>
        <v>10.33</v>
      </c>
      <c r="AG54" s="95">
        <f t="shared" si="19"/>
        <v>12</v>
      </c>
      <c r="AH54" s="95">
        <f t="shared" si="20"/>
        <v>10</v>
      </c>
      <c r="AI54" s="117">
        <f t="shared" ref="AI54:AO69" si="31">AI53</f>
        <v>10.378785896192221</v>
      </c>
      <c r="AJ54" s="117">
        <f t="shared" si="31"/>
        <v>10.631214103807773</v>
      </c>
      <c r="AK54" s="117">
        <f t="shared" si="31"/>
        <v>10.252571792384446</v>
      </c>
      <c r="AL54" s="117">
        <f t="shared" si="31"/>
        <v>10.757428207615549</v>
      </c>
      <c r="AM54" s="117">
        <f t="shared" si="31"/>
        <v>10.12635768857667</v>
      </c>
      <c r="AN54" s="117">
        <f t="shared" si="31"/>
        <v>10.883642311423325</v>
      </c>
      <c r="AO54" s="117">
        <f t="shared" si="31"/>
        <v>10.504999999999997</v>
      </c>
      <c r="AP54" s="106"/>
      <c r="AQ54" s="106">
        <f t="shared" si="21"/>
        <v>0</v>
      </c>
      <c r="AR54" s="106">
        <f t="shared" si="22"/>
        <v>0</v>
      </c>
      <c r="BC54" s="94">
        <v>50</v>
      </c>
      <c r="BD54" s="108" t="e">
        <f t="shared" si="23"/>
        <v>#N/A</v>
      </c>
      <c r="BE54" s="94" t="str">
        <f t="shared" si="30"/>
        <v/>
      </c>
      <c r="BF54" s="109" t="str">
        <f t="shared" si="24"/>
        <v/>
      </c>
      <c r="BG54" s="109" t="str">
        <f t="shared" si="25"/>
        <v/>
      </c>
      <c r="BH54" s="109" t="str">
        <f t="shared" si="26"/>
        <v/>
      </c>
      <c r="BI54" s="109" t="str">
        <f t="shared" si="27"/>
        <v/>
      </c>
      <c r="BJ54" s="109" t="e">
        <f t="shared" si="28"/>
        <v>#N/A</v>
      </c>
      <c r="BK54" s="96"/>
      <c r="BL54" s="96"/>
      <c r="BM54" s="96"/>
      <c r="BN54" s="96"/>
      <c r="BO54" s="96"/>
      <c r="BP54" s="96"/>
      <c r="BQ54" s="96"/>
      <c r="BR54" s="96"/>
    </row>
    <row r="55" spans="2:70" s="92" customFormat="1" ht="13.15" x14ac:dyDescent="0.4">
      <c r="B55" s="88">
        <v>51</v>
      </c>
      <c r="C55" s="116" t="str">
        <f>IF(F5="","",F5)</f>
        <v/>
      </c>
      <c r="Q55" s="91"/>
      <c r="R55" s="91"/>
      <c r="S55" s="91"/>
      <c r="T55" s="91"/>
      <c r="U55" s="91"/>
      <c r="V55" s="91"/>
      <c r="W55" s="91"/>
      <c r="X55" s="91"/>
      <c r="Y55" s="91"/>
      <c r="AD55" s="119">
        <v>51</v>
      </c>
      <c r="AE55" s="106">
        <f t="shared" si="18"/>
        <v>26</v>
      </c>
      <c r="AF55" s="119">
        <f t="shared" si="16"/>
        <v>10.33</v>
      </c>
      <c r="AG55" s="95">
        <f t="shared" si="19"/>
        <v>12</v>
      </c>
      <c r="AH55" s="95">
        <f t="shared" si="20"/>
        <v>10</v>
      </c>
      <c r="AI55" s="120">
        <f t="shared" si="31"/>
        <v>10.378785896192221</v>
      </c>
      <c r="AJ55" s="120">
        <f t="shared" si="31"/>
        <v>10.631214103807773</v>
      </c>
      <c r="AK55" s="120">
        <f t="shared" si="31"/>
        <v>10.252571792384446</v>
      </c>
      <c r="AL55" s="120">
        <f t="shared" si="31"/>
        <v>10.757428207615549</v>
      </c>
      <c r="AM55" s="120">
        <f t="shared" si="31"/>
        <v>10.12635768857667</v>
      </c>
      <c r="AN55" s="120">
        <f t="shared" si="31"/>
        <v>10.883642311423325</v>
      </c>
      <c r="AO55" s="120">
        <f t="shared" si="31"/>
        <v>10.504999999999997</v>
      </c>
      <c r="AP55" s="119"/>
      <c r="AQ55" s="106">
        <f t="shared" si="21"/>
        <v>0</v>
      </c>
      <c r="AR55" s="106">
        <f t="shared" si="22"/>
        <v>0</v>
      </c>
      <c r="BC55" s="94">
        <v>51</v>
      </c>
      <c r="BD55" s="108" t="e">
        <f t="shared" si="23"/>
        <v>#N/A</v>
      </c>
      <c r="BE55" s="94" t="str">
        <f t="shared" si="30"/>
        <v/>
      </c>
      <c r="BF55" s="109" t="str">
        <f t="shared" si="24"/>
        <v/>
      </c>
      <c r="BG55" s="109" t="str">
        <f t="shared" si="25"/>
        <v/>
      </c>
      <c r="BH55" s="109" t="str">
        <f t="shared" si="26"/>
        <v/>
      </c>
      <c r="BI55" s="109" t="str">
        <f t="shared" si="27"/>
        <v/>
      </c>
      <c r="BJ55" s="109" t="e">
        <f t="shared" si="28"/>
        <v>#N/A</v>
      </c>
      <c r="BK55" s="96"/>
      <c r="BL55" s="96"/>
      <c r="BM55" s="96"/>
      <c r="BN55" s="96"/>
      <c r="BO55" s="96"/>
      <c r="BP55" s="96"/>
      <c r="BQ55" s="96"/>
      <c r="BR55" s="96"/>
    </row>
    <row r="56" spans="2:70" s="92" customFormat="1" ht="13.15" x14ac:dyDescent="0.4">
      <c r="B56" s="93">
        <v>52</v>
      </c>
      <c r="C56" s="116" t="str">
        <f>IF(F6="","",F6)</f>
        <v/>
      </c>
      <c r="AD56" s="119">
        <v>52</v>
      </c>
      <c r="AE56" s="106">
        <f t="shared" si="18"/>
        <v>26</v>
      </c>
      <c r="AF56" s="119">
        <f t="shared" si="16"/>
        <v>10.33</v>
      </c>
      <c r="AG56" s="95">
        <f t="shared" si="19"/>
        <v>12</v>
      </c>
      <c r="AH56" s="95">
        <f t="shared" si="20"/>
        <v>10</v>
      </c>
      <c r="AI56" s="120">
        <f t="shared" si="31"/>
        <v>10.378785896192221</v>
      </c>
      <c r="AJ56" s="120">
        <f t="shared" si="31"/>
        <v>10.631214103807773</v>
      </c>
      <c r="AK56" s="120">
        <f t="shared" si="31"/>
        <v>10.252571792384446</v>
      </c>
      <c r="AL56" s="120">
        <f t="shared" si="31"/>
        <v>10.757428207615549</v>
      </c>
      <c r="AM56" s="120">
        <f t="shared" si="31"/>
        <v>10.12635768857667</v>
      </c>
      <c r="AN56" s="120">
        <f t="shared" si="31"/>
        <v>10.883642311423325</v>
      </c>
      <c r="AO56" s="120">
        <f t="shared" si="31"/>
        <v>10.504999999999997</v>
      </c>
      <c r="AP56" s="119"/>
      <c r="AQ56" s="106">
        <f t="shared" si="21"/>
        <v>0</v>
      </c>
      <c r="AR56" s="106">
        <f t="shared" si="22"/>
        <v>0</v>
      </c>
      <c r="BC56" s="94">
        <v>52</v>
      </c>
      <c r="BD56" s="108" t="e">
        <f t="shared" si="23"/>
        <v>#N/A</v>
      </c>
      <c r="BE56" s="94" t="str">
        <f t="shared" si="30"/>
        <v/>
      </c>
      <c r="BF56" s="109" t="str">
        <f t="shared" si="24"/>
        <v/>
      </c>
      <c r="BG56" s="109" t="str">
        <f t="shared" si="25"/>
        <v/>
      </c>
      <c r="BH56" s="109" t="str">
        <f t="shared" si="26"/>
        <v/>
      </c>
      <c r="BI56" s="109" t="str">
        <f t="shared" si="27"/>
        <v/>
      </c>
      <c r="BJ56" s="109" t="e">
        <f t="shared" si="28"/>
        <v>#N/A</v>
      </c>
      <c r="BK56" s="96"/>
      <c r="BL56" s="96"/>
      <c r="BM56" s="96"/>
      <c r="BN56" s="96"/>
      <c r="BO56" s="96"/>
      <c r="BP56" s="96"/>
      <c r="BQ56" s="96"/>
      <c r="BR56" s="96"/>
    </row>
    <row r="57" spans="2:70" s="92" customFormat="1" ht="13.15" x14ac:dyDescent="0.4">
      <c r="B57" s="88">
        <v>53</v>
      </c>
      <c r="C57" s="116" t="str">
        <f>IF(F7="","",F7)</f>
        <v/>
      </c>
      <c r="F57" s="121"/>
      <c r="G57" s="121"/>
      <c r="H57" s="121"/>
      <c r="I57" s="121"/>
      <c r="J57" s="121"/>
      <c r="K57" s="121"/>
      <c r="L57" s="121"/>
      <c r="AD57" s="119">
        <v>53</v>
      </c>
      <c r="AE57" s="106">
        <f t="shared" si="18"/>
        <v>26</v>
      </c>
      <c r="AF57" s="119">
        <f t="shared" si="16"/>
        <v>10.33</v>
      </c>
      <c r="AG57" s="95">
        <f t="shared" si="19"/>
        <v>12</v>
      </c>
      <c r="AH57" s="95">
        <f t="shared" si="20"/>
        <v>10</v>
      </c>
      <c r="AI57" s="120">
        <f t="shared" si="31"/>
        <v>10.378785896192221</v>
      </c>
      <c r="AJ57" s="120">
        <f t="shared" si="31"/>
        <v>10.631214103807773</v>
      </c>
      <c r="AK57" s="120">
        <f t="shared" si="31"/>
        <v>10.252571792384446</v>
      </c>
      <c r="AL57" s="120">
        <f t="shared" si="31"/>
        <v>10.757428207615549</v>
      </c>
      <c r="AM57" s="120">
        <f t="shared" si="31"/>
        <v>10.12635768857667</v>
      </c>
      <c r="AN57" s="120">
        <f t="shared" si="31"/>
        <v>10.883642311423325</v>
      </c>
      <c r="AO57" s="120">
        <f t="shared" si="31"/>
        <v>10.504999999999997</v>
      </c>
      <c r="AP57" s="119"/>
      <c r="AQ57" s="106">
        <f t="shared" si="21"/>
        <v>0</v>
      </c>
      <c r="AR57" s="106">
        <f t="shared" si="22"/>
        <v>0</v>
      </c>
      <c r="BC57" s="94">
        <v>53</v>
      </c>
      <c r="BD57" s="108" t="e">
        <f t="shared" si="23"/>
        <v>#N/A</v>
      </c>
      <c r="BE57" s="94" t="str">
        <f t="shared" si="30"/>
        <v/>
      </c>
      <c r="BF57" s="109" t="str">
        <f t="shared" si="24"/>
        <v/>
      </c>
      <c r="BG57" s="109" t="str">
        <f t="shared" si="25"/>
        <v/>
      </c>
      <c r="BH57" s="109" t="str">
        <f t="shared" si="26"/>
        <v/>
      </c>
      <c r="BI57" s="109" t="str">
        <f t="shared" si="27"/>
        <v/>
      </c>
      <c r="BJ57" s="109" t="e">
        <f t="shared" si="28"/>
        <v>#N/A</v>
      </c>
      <c r="BK57" s="96"/>
      <c r="BL57" s="96"/>
      <c r="BM57" s="96"/>
      <c r="BN57" s="96"/>
      <c r="BO57" s="96"/>
      <c r="BP57" s="96"/>
      <c r="BQ57" s="96"/>
      <c r="BR57" s="96"/>
    </row>
    <row r="58" spans="2:70" s="92" customFormat="1" ht="13.15" x14ac:dyDescent="0.4">
      <c r="B58" s="93">
        <v>54</v>
      </c>
      <c r="C58" s="116" t="str">
        <f t="shared" ref="C58:C103" si="32">IF(F8="","",F8)</f>
        <v/>
      </c>
      <c r="P58" s="208" t="s">
        <v>43</v>
      </c>
      <c r="Q58" s="208"/>
      <c r="R58" s="208"/>
      <c r="S58" s="208"/>
      <c r="T58" s="208"/>
      <c r="U58" s="208"/>
      <c r="V58" s="208"/>
      <c r="W58" s="208"/>
      <c r="X58" s="208"/>
      <c r="Y58" s="208"/>
      <c r="AD58" s="119">
        <v>54</v>
      </c>
      <c r="AE58" s="106">
        <f t="shared" si="18"/>
        <v>26</v>
      </c>
      <c r="AF58" s="119">
        <f t="shared" si="16"/>
        <v>10.33</v>
      </c>
      <c r="AG58" s="95">
        <f t="shared" si="19"/>
        <v>12</v>
      </c>
      <c r="AH58" s="95">
        <f t="shared" si="20"/>
        <v>10</v>
      </c>
      <c r="AI58" s="120">
        <f t="shared" si="31"/>
        <v>10.378785896192221</v>
      </c>
      <c r="AJ58" s="120">
        <f t="shared" si="31"/>
        <v>10.631214103807773</v>
      </c>
      <c r="AK58" s="120">
        <f t="shared" si="31"/>
        <v>10.252571792384446</v>
      </c>
      <c r="AL58" s="120">
        <f t="shared" si="31"/>
        <v>10.757428207615549</v>
      </c>
      <c r="AM58" s="120">
        <f t="shared" si="31"/>
        <v>10.12635768857667</v>
      </c>
      <c r="AN58" s="120">
        <f t="shared" si="31"/>
        <v>10.883642311423325</v>
      </c>
      <c r="AO58" s="120">
        <f t="shared" si="31"/>
        <v>10.504999999999997</v>
      </c>
      <c r="AP58" s="119"/>
      <c r="AQ58" s="106">
        <f t="shared" si="21"/>
        <v>0</v>
      </c>
      <c r="AR58" s="106">
        <f t="shared" si="22"/>
        <v>0</v>
      </c>
      <c r="BC58" s="94">
        <v>54</v>
      </c>
      <c r="BD58" s="108" t="e">
        <f t="shared" si="23"/>
        <v>#N/A</v>
      </c>
      <c r="BE58" s="94" t="str">
        <f t="shared" si="30"/>
        <v/>
      </c>
      <c r="BF58" s="109" t="str">
        <f t="shared" si="24"/>
        <v/>
      </c>
      <c r="BG58" s="109" t="str">
        <f t="shared" si="25"/>
        <v/>
      </c>
      <c r="BH58" s="109" t="str">
        <f t="shared" si="26"/>
        <v/>
      </c>
      <c r="BI58" s="109" t="str">
        <f t="shared" si="27"/>
        <v/>
      </c>
      <c r="BJ58" s="109" t="e">
        <f t="shared" si="28"/>
        <v>#N/A</v>
      </c>
      <c r="BK58" s="96"/>
      <c r="BL58" s="96"/>
      <c r="BM58" s="96"/>
      <c r="BN58" s="96"/>
      <c r="BO58" s="96"/>
      <c r="BP58" s="96"/>
      <c r="BQ58" s="96"/>
      <c r="BR58" s="96"/>
    </row>
    <row r="59" spans="2:70" s="92" customFormat="1" ht="13.15" x14ac:dyDescent="0.4">
      <c r="B59" s="88">
        <v>55</v>
      </c>
      <c r="C59" s="116" t="str">
        <f t="shared" si="32"/>
        <v/>
      </c>
      <c r="P59" s="122" t="s">
        <v>45</v>
      </c>
      <c r="S59" s="92">
        <f>AnzahlKlassenHistogramm</f>
        <v>5</v>
      </c>
      <c r="T59" s="119"/>
      <c r="U59" s="119"/>
      <c r="V59" s="119"/>
      <c r="W59" s="119"/>
      <c r="X59" s="119"/>
      <c r="Y59" s="119"/>
      <c r="AD59" s="119">
        <v>55</v>
      </c>
      <c r="AE59" s="106">
        <f t="shared" si="18"/>
        <v>26</v>
      </c>
      <c r="AF59" s="119">
        <f t="shared" si="16"/>
        <v>10.33</v>
      </c>
      <c r="AG59" s="95">
        <f t="shared" si="19"/>
        <v>12</v>
      </c>
      <c r="AH59" s="95">
        <f t="shared" si="20"/>
        <v>10</v>
      </c>
      <c r="AI59" s="120">
        <f t="shared" si="31"/>
        <v>10.378785896192221</v>
      </c>
      <c r="AJ59" s="120">
        <f t="shared" si="31"/>
        <v>10.631214103807773</v>
      </c>
      <c r="AK59" s="120">
        <f t="shared" si="31"/>
        <v>10.252571792384446</v>
      </c>
      <c r="AL59" s="120">
        <f t="shared" si="31"/>
        <v>10.757428207615549</v>
      </c>
      <c r="AM59" s="120">
        <f t="shared" si="31"/>
        <v>10.12635768857667</v>
      </c>
      <c r="AN59" s="120">
        <f t="shared" si="31"/>
        <v>10.883642311423325</v>
      </c>
      <c r="AO59" s="120">
        <f t="shared" si="31"/>
        <v>10.504999999999997</v>
      </c>
      <c r="AP59" s="119"/>
      <c r="AQ59" s="106">
        <f t="shared" si="21"/>
        <v>0</v>
      </c>
      <c r="AR59" s="106">
        <f t="shared" si="22"/>
        <v>0</v>
      </c>
      <c r="BC59" s="94">
        <v>55</v>
      </c>
      <c r="BD59" s="108" t="e">
        <f t="shared" si="23"/>
        <v>#N/A</v>
      </c>
      <c r="BE59" s="94" t="str">
        <f t="shared" si="30"/>
        <v/>
      </c>
      <c r="BF59" s="109" t="str">
        <f t="shared" si="24"/>
        <v/>
      </c>
      <c r="BG59" s="109" t="str">
        <f t="shared" si="25"/>
        <v/>
      </c>
      <c r="BH59" s="109" t="str">
        <f t="shared" si="26"/>
        <v/>
      </c>
      <c r="BI59" s="109" t="str">
        <f t="shared" si="27"/>
        <v/>
      </c>
      <c r="BJ59" s="109" t="e">
        <f t="shared" si="28"/>
        <v>#N/A</v>
      </c>
      <c r="BK59" s="96"/>
      <c r="BL59" s="96"/>
      <c r="BM59" s="96"/>
      <c r="BN59" s="96"/>
      <c r="BO59" s="96"/>
      <c r="BP59" s="96"/>
      <c r="BQ59" s="96"/>
      <c r="BR59" s="96"/>
    </row>
    <row r="60" spans="2:70" s="92" customFormat="1" ht="13.15" x14ac:dyDescent="0.4">
      <c r="B60" s="93">
        <v>56</v>
      </c>
      <c r="C60" s="116" t="str">
        <f t="shared" si="32"/>
        <v/>
      </c>
      <c r="P60" s="123" t="s">
        <v>5</v>
      </c>
      <c r="Q60" s="123" t="s">
        <v>6</v>
      </c>
      <c r="R60" s="123" t="s">
        <v>7</v>
      </c>
      <c r="S60" s="123"/>
      <c r="T60" s="123"/>
      <c r="U60" s="123" t="s">
        <v>8</v>
      </c>
      <c r="V60" s="123" t="s">
        <v>9</v>
      </c>
      <c r="W60" s="123"/>
      <c r="X60" s="123"/>
      <c r="Y60" s="123" t="s">
        <v>10</v>
      </c>
      <c r="AD60" s="119">
        <v>56</v>
      </c>
      <c r="AE60" s="106">
        <f t="shared" si="18"/>
        <v>26</v>
      </c>
      <c r="AF60" s="119">
        <f t="shared" si="16"/>
        <v>10.33</v>
      </c>
      <c r="AG60" s="95">
        <f t="shared" si="19"/>
        <v>12</v>
      </c>
      <c r="AH60" s="95">
        <f t="shared" si="20"/>
        <v>10</v>
      </c>
      <c r="AI60" s="120">
        <f t="shared" si="31"/>
        <v>10.378785896192221</v>
      </c>
      <c r="AJ60" s="120">
        <f t="shared" si="31"/>
        <v>10.631214103807773</v>
      </c>
      <c r="AK60" s="120">
        <f t="shared" si="31"/>
        <v>10.252571792384446</v>
      </c>
      <c r="AL60" s="120">
        <f t="shared" si="31"/>
        <v>10.757428207615549</v>
      </c>
      <c r="AM60" s="120">
        <f t="shared" si="31"/>
        <v>10.12635768857667</v>
      </c>
      <c r="AN60" s="120">
        <f t="shared" si="31"/>
        <v>10.883642311423325</v>
      </c>
      <c r="AO60" s="120">
        <f t="shared" si="31"/>
        <v>10.504999999999997</v>
      </c>
      <c r="AP60" s="119"/>
      <c r="AQ60" s="106">
        <f t="shared" si="21"/>
        <v>0</v>
      </c>
      <c r="AR60" s="106">
        <f t="shared" si="22"/>
        <v>0</v>
      </c>
      <c r="BC60" s="94">
        <v>56</v>
      </c>
      <c r="BD60" s="108" t="e">
        <f t="shared" si="23"/>
        <v>#N/A</v>
      </c>
      <c r="BE60" s="94" t="str">
        <f t="shared" si="30"/>
        <v/>
      </c>
      <c r="BF60" s="109" t="str">
        <f t="shared" si="24"/>
        <v/>
      </c>
      <c r="BG60" s="109" t="str">
        <f t="shared" si="25"/>
        <v/>
      </c>
      <c r="BH60" s="109" t="str">
        <f t="shared" si="26"/>
        <v/>
      </c>
      <c r="BI60" s="109" t="str">
        <f t="shared" si="27"/>
        <v/>
      </c>
      <c r="BJ60" s="109" t="e">
        <f t="shared" si="28"/>
        <v>#N/A</v>
      </c>
      <c r="BK60" s="96"/>
      <c r="BL60" s="96"/>
      <c r="BM60" s="96"/>
      <c r="BN60" s="96"/>
      <c r="BO60" s="96"/>
      <c r="BP60" s="96"/>
      <c r="BQ60" s="96"/>
      <c r="BR60" s="96"/>
    </row>
    <row r="61" spans="2:70" s="92" customFormat="1" ht="13.15" x14ac:dyDescent="0.4">
      <c r="B61" s="88">
        <v>57</v>
      </c>
      <c r="C61" s="116" t="str">
        <f t="shared" si="32"/>
        <v/>
      </c>
      <c r="P61" s="93" t="s">
        <v>11</v>
      </c>
      <c r="Q61" s="93" t="s">
        <v>12</v>
      </c>
      <c r="R61" s="93" t="s">
        <v>12</v>
      </c>
      <c r="S61" s="93" t="s">
        <v>12</v>
      </c>
      <c r="T61" s="93" t="s">
        <v>12</v>
      </c>
      <c r="U61" s="93" t="s">
        <v>13</v>
      </c>
      <c r="V61" s="93" t="s">
        <v>13</v>
      </c>
      <c r="W61" s="93" t="s">
        <v>8</v>
      </c>
      <c r="X61" s="93" t="s">
        <v>9</v>
      </c>
      <c r="Y61" s="93" t="s">
        <v>14</v>
      </c>
      <c r="AD61" s="119">
        <v>57</v>
      </c>
      <c r="AE61" s="106">
        <f t="shared" si="18"/>
        <v>26</v>
      </c>
      <c r="AF61" s="119">
        <f t="shared" si="16"/>
        <v>10.33</v>
      </c>
      <c r="AG61" s="95">
        <f t="shared" si="19"/>
        <v>12</v>
      </c>
      <c r="AH61" s="95">
        <f t="shared" si="20"/>
        <v>10</v>
      </c>
      <c r="AI61" s="120">
        <f t="shared" si="31"/>
        <v>10.378785896192221</v>
      </c>
      <c r="AJ61" s="120">
        <f t="shared" si="31"/>
        <v>10.631214103807773</v>
      </c>
      <c r="AK61" s="120">
        <f t="shared" si="31"/>
        <v>10.252571792384446</v>
      </c>
      <c r="AL61" s="120">
        <f t="shared" si="31"/>
        <v>10.757428207615549</v>
      </c>
      <c r="AM61" s="120">
        <f t="shared" si="31"/>
        <v>10.12635768857667</v>
      </c>
      <c r="AN61" s="120">
        <f t="shared" si="31"/>
        <v>10.883642311423325</v>
      </c>
      <c r="AO61" s="120">
        <f t="shared" si="31"/>
        <v>10.504999999999997</v>
      </c>
      <c r="AP61" s="119"/>
      <c r="AQ61" s="106">
        <f t="shared" si="21"/>
        <v>0</v>
      </c>
      <c r="AR61" s="106">
        <f t="shared" si="22"/>
        <v>0</v>
      </c>
      <c r="BC61" s="94">
        <v>57</v>
      </c>
      <c r="BD61" s="108" t="e">
        <f t="shared" si="23"/>
        <v>#N/A</v>
      </c>
      <c r="BE61" s="94" t="str">
        <f t="shared" si="30"/>
        <v/>
      </c>
      <c r="BF61" s="109" t="str">
        <f t="shared" si="24"/>
        <v/>
      </c>
      <c r="BG61" s="109" t="str">
        <f t="shared" si="25"/>
        <v/>
      </c>
      <c r="BH61" s="109" t="str">
        <f t="shared" si="26"/>
        <v/>
      </c>
      <c r="BI61" s="109" t="str">
        <f t="shared" si="27"/>
        <v/>
      </c>
      <c r="BJ61" s="109" t="e">
        <f t="shared" si="28"/>
        <v>#N/A</v>
      </c>
      <c r="BK61" s="96"/>
      <c r="BL61" s="96"/>
      <c r="BM61" s="96"/>
      <c r="BN61" s="96"/>
      <c r="BO61" s="96"/>
      <c r="BP61" s="96"/>
      <c r="BQ61" s="96"/>
      <c r="BR61" s="96"/>
    </row>
    <row r="62" spans="2:70" s="92" customFormat="1" ht="13.15" x14ac:dyDescent="0.4">
      <c r="B62" s="93">
        <v>58</v>
      </c>
      <c r="C62" s="116" t="str">
        <f t="shared" si="32"/>
        <v/>
      </c>
      <c r="P62" s="124" t="s">
        <v>15</v>
      </c>
      <c r="Q62" s="124" t="s">
        <v>16</v>
      </c>
      <c r="R62" s="124" t="s">
        <v>16</v>
      </c>
      <c r="S62" s="124" t="s">
        <v>17</v>
      </c>
      <c r="T62" s="124" t="s">
        <v>18</v>
      </c>
      <c r="U62" s="124" t="s">
        <v>19</v>
      </c>
      <c r="V62" s="124" t="s">
        <v>19</v>
      </c>
      <c r="W62" s="124" t="s">
        <v>20</v>
      </c>
      <c r="X62" s="124" t="s">
        <v>20</v>
      </c>
      <c r="Y62" s="124" t="s">
        <v>21</v>
      </c>
      <c r="AD62" s="119">
        <v>58</v>
      </c>
      <c r="AE62" s="106">
        <f t="shared" si="18"/>
        <v>26</v>
      </c>
      <c r="AF62" s="119">
        <f t="shared" si="16"/>
        <v>10.33</v>
      </c>
      <c r="AG62" s="95">
        <f t="shared" si="19"/>
        <v>12</v>
      </c>
      <c r="AH62" s="95">
        <f t="shared" si="20"/>
        <v>10</v>
      </c>
      <c r="AI62" s="120">
        <f t="shared" si="31"/>
        <v>10.378785896192221</v>
      </c>
      <c r="AJ62" s="120">
        <f t="shared" si="31"/>
        <v>10.631214103807773</v>
      </c>
      <c r="AK62" s="120">
        <f t="shared" si="31"/>
        <v>10.252571792384446</v>
      </c>
      <c r="AL62" s="120">
        <f t="shared" si="31"/>
        <v>10.757428207615549</v>
      </c>
      <c r="AM62" s="120">
        <f t="shared" si="31"/>
        <v>10.12635768857667</v>
      </c>
      <c r="AN62" s="120">
        <f t="shared" si="31"/>
        <v>10.883642311423325</v>
      </c>
      <c r="AO62" s="120">
        <f t="shared" si="31"/>
        <v>10.504999999999997</v>
      </c>
      <c r="AP62" s="119"/>
      <c r="AQ62" s="106">
        <f t="shared" si="21"/>
        <v>0</v>
      </c>
      <c r="AR62" s="106">
        <f t="shared" si="22"/>
        <v>0</v>
      </c>
      <c r="BC62" s="94">
        <v>58</v>
      </c>
      <c r="BD62" s="108" t="e">
        <f t="shared" si="23"/>
        <v>#N/A</v>
      </c>
      <c r="BE62" s="94" t="str">
        <f t="shared" si="30"/>
        <v/>
      </c>
      <c r="BF62" s="109" t="str">
        <f t="shared" si="24"/>
        <v/>
      </c>
      <c r="BG62" s="109" t="str">
        <f t="shared" si="25"/>
        <v/>
      </c>
      <c r="BH62" s="109" t="str">
        <f t="shared" si="26"/>
        <v/>
      </c>
      <c r="BI62" s="109" t="str">
        <f t="shared" si="27"/>
        <v/>
      </c>
      <c r="BJ62" s="109" t="e">
        <f t="shared" si="28"/>
        <v>#N/A</v>
      </c>
      <c r="BK62" s="96"/>
      <c r="BL62" s="96"/>
      <c r="BM62" s="96"/>
      <c r="BN62" s="96"/>
      <c r="BO62" s="96"/>
      <c r="BP62" s="96"/>
      <c r="BQ62" s="96"/>
      <c r="BR62" s="96"/>
    </row>
    <row r="63" spans="2:70" s="92" customFormat="1" ht="15.4" x14ac:dyDescent="0.55000000000000004">
      <c r="B63" s="88">
        <v>59</v>
      </c>
      <c r="C63" s="116" t="str">
        <f t="shared" si="32"/>
        <v/>
      </c>
      <c r="P63" s="123" t="s">
        <v>22</v>
      </c>
      <c r="Q63" s="123" t="s">
        <v>69</v>
      </c>
      <c r="R63" s="123" t="s">
        <v>70</v>
      </c>
      <c r="S63" s="123" t="s">
        <v>71</v>
      </c>
      <c r="T63" s="123" t="s">
        <v>72</v>
      </c>
      <c r="U63" s="123" t="s">
        <v>73</v>
      </c>
      <c r="V63" s="123" t="s">
        <v>74</v>
      </c>
      <c r="W63" s="123" t="s">
        <v>75</v>
      </c>
      <c r="X63" s="123" t="s">
        <v>76</v>
      </c>
      <c r="Y63" s="123" t="s">
        <v>23</v>
      </c>
      <c r="AD63" s="119">
        <v>59</v>
      </c>
      <c r="AE63" s="106">
        <f t="shared" si="18"/>
        <v>26</v>
      </c>
      <c r="AF63" s="119">
        <f t="shared" si="16"/>
        <v>10.33</v>
      </c>
      <c r="AG63" s="95">
        <f t="shared" si="19"/>
        <v>12</v>
      </c>
      <c r="AH63" s="95">
        <f t="shared" si="20"/>
        <v>10</v>
      </c>
      <c r="AI63" s="120">
        <f t="shared" si="31"/>
        <v>10.378785896192221</v>
      </c>
      <c r="AJ63" s="120">
        <f t="shared" si="31"/>
        <v>10.631214103807773</v>
      </c>
      <c r="AK63" s="120">
        <f t="shared" si="31"/>
        <v>10.252571792384446</v>
      </c>
      <c r="AL63" s="120">
        <f t="shared" si="31"/>
        <v>10.757428207615549</v>
      </c>
      <c r="AM63" s="120">
        <f t="shared" si="31"/>
        <v>10.12635768857667</v>
      </c>
      <c r="AN63" s="120">
        <f t="shared" si="31"/>
        <v>10.883642311423325</v>
      </c>
      <c r="AO63" s="120">
        <f t="shared" si="31"/>
        <v>10.504999999999997</v>
      </c>
      <c r="AP63" s="119"/>
      <c r="AQ63" s="106">
        <f t="shared" si="21"/>
        <v>0</v>
      </c>
      <c r="AR63" s="106">
        <f t="shared" si="22"/>
        <v>0</v>
      </c>
      <c r="BC63" s="94">
        <v>59</v>
      </c>
      <c r="BD63" s="108" t="e">
        <f t="shared" si="23"/>
        <v>#N/A</v>
      </c>
      <c r="BE63" s="94" t="str">
        <f t="shared" si="30"/>
        <v/>
      </c>
      <c r="BF63" s="109" t="str">
        <f t="shared" si="24"/>
        <v/>
      </c>
      <c r="BG63" s="109" t="str">
        <f t="shared" si="25"/>
        <v/>
      </c>
      <c r="BH63" s="109" t="str">
        <f t="shared" si="26"/>
        <v/>
      </c>
      <c r="BI63" s="109" t="str">
        <f t="shared" si="27"/>
        <v/>
      </c>
      <c r="BJ63" s="109" t="e">
        <f t="shared" si="28"/>
        <v>#N/A</v>
      </c>
      <c r="BK63" s="96"/>
      <c r="BL63" s="96"/>
      <c r="BM63" s="96"/>
      <c r="BN63" s="96"/>
      <c r="BO63" s="96"/>
      <c r="BP63" s="96"/>
      <c r="BQ63" s="96"/>
      <c r="BR63" s="96"/>
    </row>
    <row r="64" spans="2:70" s="92" customFormat="1" ht="13.15" x14ac:dyDescent="0.4">
      <c r="B64" s="93">
        <v>60</v>
      </c>
      <c r="C64" s="116" t="str">
        <f t="shared" si="32"/>
        <v/>
      </c>
      <c r="P64" s="106">
        <v>1</v>
      </c>
      <c r="Q64" s="125">
        <f>Minimum</f>
        <v>10.3</v>
      </c>
      <c r="R64" s="125">
        <f>Q64+T64</f>
        <v>10.4</v>
      </c>
      <c r="S64" s="125">
        <f>(R64+Q64)/2</f>
        <v>10.350000000000001</v>
      </c>
      <c r="T64" s="126">
        <f t="shared" ref="T64:T83" si="33">Spannweite/AnzahlKlassenHistogramm</f>
        <v>0.1</v>
      </c>
      <c r="U64" s="127">
        <f t="shared" ref="U64:U83" si="34">FREQUENCY(xi,R64)</f>
        <v>9</v>
      </c>
      <c r="V64" s="128">
        <f t="shared" ref="V64:V83" si="35">$U64/Anzahl</f>
        <v>0.34615384615384615</v>
      </c>
      <c r="W64" s="127">
        <f>U64</f>
        <v>9</v>
      </c>
      <c r="X64" s="128">
        <f t="shared" ref="X64:X83" si="36">W64/Anzahl</f>
        <v>0.34615384615384615</v>
      </c>
      <c r="Y64" s="129">
        <f>X64/T64</f>
        <v>3.4615384615384612</v>
      </c>
      <c r="AD64" s="119">
        <v>60</v>
      </c>
      <c r="AE64" s="106">
        <f t="shared" si="18"/>
        <v>26</v>
      </c>
      <c r="AF64" s="119">
        <f t="shared" si="16"/>
        <v>10.33</v>
      </c>
      <c r="AG64" s="95">
        <f t="shared" si="19"/>
        <v>12</v>
      </c>
      <c r="AH64" s="95">
        <f t="shared" si="20"/>
        <v>10</v>
      </c>
      <c r="AI64" s="120">
        <f t="shared" si="31"/>
        <v>10.378785896192221</v>
      </c>
      <c r="AJ64" s="120">
        <f t="shared" si="31"/>
        <v>10.631214103807773</v>
      </c>
      <c r="AK64" s="120">
        <f t="shared" si="31"/>
        <v>10.252571792384446</v>
      </c>
      <c r="AL64" s="120">
        <f t="shared" si="31"/>
        <v>10.757428207615549</v>
      </c>
      <c r="AM64" s="120">
        <f t="shared" si="31"/>
        <v>10.12635768857667</v>
      </c>
      <c r="AN64" s="120">
        <f t="shared" si="31"/>
        <v>10.883642311423325</v>
      </c>
      <c r="AO64" s="120">
        <f t="shared" si="31"/>
        <v>10.504999999999997</v>
      </c>
      <c r="AP64" s="119"/>
      <c r="AQ64" s="106">
        <f t="shared" si="21"/>
        <v>0</v>
      </c>
      <c r="AR64" s="106">
        <f t="shared" si="22"/>
        <v>0</v>
      </c>
      <c r="BC64" s="94">
        <v>60</v>
      </c>
      <c r="BD64" s="108" t="e">
        <f t="shared" si="23"/>
        <v>#N/A</v>
      </c>
      <c r="BE64" s="94" t="str">
        <f t="shared" si="30"/>
        <v/>
      </c>
      <c r="BF64" s="109" t="str">
        <f t="shared" si="24"/>
        <v/>
      </c>
      <c r="BG64" s="109" t="str">
        <f t="shared" si="25"/>
        <v/>
      </c>
      <c r="BH64" s="109" t="str">
        <f t="shared" si="26"/>
        <v/>
      </c>
      <c r="BI64" s="109" t="str">
        <f t="shared" si="27"/>
        <v/>
      </c>
      <c r="BJ64" s="109" t="e">
        <f t="shared" si="28"/>
        <v>#N/A</v>
      </c>
      <c r="BK64" s="96"/>
      <c r="BL64" s="96"/>
      <c r="BM64" s="96"/>
      <c r="BN64" s="96"/>
      <c r="BO64" s="96"/>
      <c r="BP64" s="96"/>
      <c r="BQ64" s="96"/>
      <c r="BR64" s="96"/>
    </row>
    <row r="65" spans="1:70" s="92" customFormat="1" ht="13.15" x14ac:dyDescent="0.4">
      <c r="B65" s="88">
        <v>61</v>
      </c>
      <c r="C65" s="116" t="str">
        <f t="shared" si="32"/>
        <v/>
      </c>
      <c r="P65" s="106">
        <v>2</v>
      </c>
      <c r="Q65" s="125">
        <f t="shared" ref="Q65:Q83" si="37">IF(AnzahlKlassenHistogramm&lt;P65,Q64,Q64+T65+0.00000001)</f>
        <v>10.400000010000001</v>
      </c>
      <c r="R65" s="125">
        <f>Q65+T65</f>
        <v>10.500000010000001</v>
      </c>
      <c r="S65" s="125">
        <f>(R65+Q65)/2</f>
        <v>10.45000001</v>
      </c>
      <c r="T65" s="126">
        <f t="shared" si="33"/>
        <v>0.1</v>
      </c>
      <c r="U65" s="127">
        <f t="shared" si="34"/>
        <v>17</v>
      </c>
      <c r="V65" s="128">
        <f t="shared" si="35"/>
        <v>0.65384615384615385</v>
      </c>
      <c r="W65" s="127">
        <f>U65-U64</f>
        <v>8</v>
      </c>
      <c r="X65" s="128">
        <f t="shared" si="36"/>
        <v>0.30769230769230771</v>
      </c>
      <c r="Y65" s="129">
        <f>X65/T65</f>
        <v>3.0769230769230771</v>
      </c>
      <c r="AD65" s="119">
        <v>61</v>
      </c>
      <c r="AE65" s="106">
        <f t="shared" si="18"/>
        <v>26</v>
      </c>
      <c r="AF65" s="119">
        <f t="shared" si="16"/>
        <v>10.33</v>
      </c>
      <c r="AG65" s="95">
        <f t="shared" si="19"/>
        <v>12</v>
      </c>
      <c r="AH65" s="95">
        <f t="shared" si="20"/>
        <v>10</v>
      </c>
      <c r="AI65" s="120">
        <f t="shared" si="31"/>
        <v>10.378785896192221</v>
      </c>
      <c r="AJ65" s="120">
        <f t="shared" si="31"/>
        <v>10.631214103807773</v>
      </c>
      <c r="AK65" s="120">
        <f t="shared" si="31"/>
        <v>10.252571792384446</v>
      </c>
      <c r="AL65" s="120">
        <f t="shared" si="31"/>
        <v>10.757428207615549</v>
      </c>
      <c r="AM65" s="120">
        <f t="shared" si="31"/>
        <v>10.12635768857667</v>
      </c>
      <c r="AN65" s="120">
        <f t="shared" si="31"/>
        <v>10.883642311423325</v>
      </c>
      <c r="AO65" s="120">
        <f t="shared" si="31"/>
        <v>10.504999999999997</v>
      </c>
      <c r="AP65" s="119"/>
      <c r="AQ65" s="106">
        <f t="shared" si="21"/>
        <v>0</v>
      </c>
      <c r="AR65" s="106">
        <f t="shared" si="22"/>
        <v>0</v>
      </c>
      <c r="BC65" s="94">
        <v>61</v>
      </c>
      <c r="BD65" s="108" t="e">
        <f t="shared" si="23"/>
        <v>#N/A</v>
      </c>
      <c r="BE65" s="94" t="str">
        <f t="shared" si="30"/>
        <v/>
      </c>
      <c r="BF65" s="109" t="str">
        <f t="shared" si="24"/>
        <v/>
      </c>
      <c r="BG65" s="109" t="str">
        <f t="shared" si="25"/>
        <v/>
      </c>
      <c r="BH65" s="109" t="str">
        <f t="shared" si="26"/>
        <v/>
      </c>
      <c r="BI65" s="109" t="str">
        <f t="shared" si="27"/>
        <v/>
      </c>
      <c r="BJ65" s="109" t="e">
        <f t="shared" si="28"/>
        <v>#N/A</v>
      </c>
      <c r="BK65" s="96"/>
      <c r="BL65" s="96"/>
      <c r="BM65" s="96"/>
      <c r="BN65" s="96"/>
      <c r="BO65" s="96"/>
      <c r="BP65" s="96"/>
      <c r="BQ65" s="96"/>
      <c r="BR65" s="96"/>
    </row>
    <row r="66" spans="1:70" s="92" customFormat="1" ht="13.15" x14ac:dyDescent="0.4">
      <c r="B66" s="93">
        <v>62</v>
      </c>
      <c r="C66" s="116" t="str">
        <f t="shared" si="32"/>
        <v/>
      </c>
      <c r="P66" s="106">
        <v>3</v>
      </c>
      <c r="Q66" s="125">
        <f t="shared" si="37"/>
        <v>10.500000020000002</v>
      </c>
      <c r="R66" s="125">
        <f t="shared" ref="R66:R83" si="38">Q66+T66</f>
        <v>10.600000020000001</v>
      </c>
      <c r="S66" s="125">
        <f t="shared" ref="S66:S83" si="39">(R66+Q66)/2</f>
        <v>10.550000020000002</v>
      </c>
      <c r="T66" s="126">
        <f t="shared" si="33"/>
        <v>0.1</v>
      </c>
      <c r="U66" s="127">
        <f t="shared" si="34"/>
        <v>23</v>
      </c>
      <c r="V66" s="128">
        <f t="shared" si="35"/>
        <v>0.88461538461538458</v>
      </c>
      <c r="W66" s="127">
        <f t="shared" ref="W66:W83" si="40">U66-U65</f>
        <v>6</v>
      </c>
      <c r="X66" s="128">
        <f t="shared" si="36"/>
        <v>0.23076923076923078</v>
      </c>
      <c r="Y66" s="129">
        <f t="shared" ref="Y66:Y83" si="41">X66/T66</f>
        <v>2.3076923076923075</v>
      </c>
      <c r="AD66" s="119">
        <v>62</v>
      </c>
      <c r="AE66" s="106">
        <f t="shared" si="18"/>
        <v>26</v>
      </c>
      <c r="AF66" s="119">
        <f t="shared" si="16"/>
        <v>10.33</v>
      </c>
      <c r="AG66" s="95">
        <f t="shared" si="19"/>
        <v>12</v>
      </c>
      <c r="AH66" s="95">
        <f t="shared" si="20"/>
        <v>10</v>
      </c>
      <c r="AI66" s="120">
        <f t="shared" si="31"/>
        <v>10.378785896192221</v>
      </c>
      <c r="AJ66" s="120">
        <f t="shared" si="31"/>
        <v>10.631214103807773</v>
      </c>
      <c r="AK66" s="120">
        <f t="shared" si="31"/>
        <v>10.252571792384446</v>
      </c>
      <c r="AL66" s="120">
        <f t="shared" si="31"/>
        <v>10.757428207615549</v>
      </c>
      <c r="AM66" s="120">
        <f t="shared" si="31"/>
        <v>10.12635768857667</v>
      </c>
      <c r="AN66" s="120">
        <f t="shared" si="31"/>
        <v>10.883642311423325</v>
      </c>
      <c r="AO66" s="120">
        <f t="shared" si="31"/>
        <v>10.504999999999997</v>
      </c>
      <c r="AP66" s="119"/>
      <c r="AQ66" s="106">
        <f t="shared" si="21"/>
        <v>0</v>
      </c>
      <c r="AR66" s="106">
        <f t="shared" si="22"/>
        <v>0</v>
      </c>
      <c r="BC66" s="94">
        <v>62</v>
      </c>
      <c r="BD66" s="108" t="e">
        <f t="shared" si="23"/>
        <v>#N/A</v>
      </c>
      <c r="BE66" s="94" t="str">
        <f t="shared" si="30"/>
        <v/>
      </c>
      <c r="BF66" s="109" t="str">
        <f t="shared" si="24"/>
        <v/>
      </c>
      <c r="BG66" s="109" t="str">
        <f t="shared" si="25"/>
        <v/>
      </c>
      <c r="BH66" s="109" t="str">
        <f t="shared" si="26"/>
        <v/>
      </c>
      <c r="BI66" s="109" t="str">
        <f t="shared" si="27"/>
        <v/>
      </c>
      <c r="BJ66" s="109" t="e">
        <f t="shared" si="28"/>
        <v>#N/A</v>
      </c>
      <c r="BK66" s="96"/>
      <c r="BL66" s="96"/>
      <c r="BM66" s="96"/>
      <c r="BN66" s="96"/>
      <c r="BO66" s="96"/>
      <c r="BP66" s="96"/>
      <c r="BQ66" s="96"/>
      <c r="BR66" s="96"/>
    </row>
    <row r="67" spans="1:70" s="92" customFormat="1" ht="13.15" x14ac:dyDescent="0.4">
      <c r="B67" s="88">
        <v>63</v>
      </c>
      <c r="C67" s="116" t="str">
        <f t="shared" si="32"/>
        <v/>
      </c>
      <c r="P67" s="106">
        <v>4</v>
      </c>
      <c r="Q67" s="125">
        <f t="shared" si="37"/>
        <v>10.600000030000002</v>
      </c>
      <c r="R67" s="125">
        <f t="shared" si="38"/>
        <v>10.700000030000002</v>
      </c>
      <c r="S67" s="125">
        <f t="shared" si="39"/>
        <v>10.650000030000001</v>
      </c>
      <c r="T67" s="126">
        <f t="shared" si="33"/>
        <v>0.1</v>
      </c>
      <c r="U67" s="127">
        <f t="shared" si="34"/>
        <v>25</v>
      </c>
      <c r="V67" s="128">
        <f t="shared" si="35"/>
        <v>0.96153846153846156</v>
      </c>
      <c r="W67" s="127">
        <f t="shared" si="40"/>
        <v>2</v>
      </c>
      <c r="X67" s="128">
        <f t="shared" si="36"/>
        <v>7.6923076923076927E-2</v>
      </c>
      <c r="Y67" s="129">
        <f t="shared" si="41"/>
        <v>0.76923076923076927</v>
      </c>
      <c r="AD67" s="119">
        <v>63</v>
      </c>
      <c r="AE67" s="106">
        <f t="shared" si="18"/>
        <v>26</v>
      </c>
      <c r="AF67" s="119">
        <f t="shared" si="16"/>
        <v>10.33</v>
      </c>
      <c r="AG67" s="95">
        <f t="shared" si="19"/>
        <v>12</v>
      </c>
      <c r="AH67" s="95">
        <f t="shared" si="20"/>
        <v>10</v>
      </c>
      <c r="AI67" s="120">
        <f t="shared" si="31"/>
        <v>10.378785896192221</v>
      </c>
      <c r="AJ67" s="120">
        <f t="shared" si="31"/>
        <v>10.631214103807773</v>
      </c>
      <c r="AK67" s="120">
        <f t="shared" si="31"/>
        <v>10.252571792384446</v>
      </c>
      <c r="AL67" s="120">
        <f t="shared" si="31"/>
        <v>10.757428207615549</v>
      </c>
      <c r="AM67" s="120">
        <f t="shared" si="31"/>
        <v>10.12635768857667</v>
      </c>
      <c r="AN67" s="120">
        <f t="shared" si="31"/>
        <v>10.883642311423325</v>
      </c>
      <c r="AO67" s="120">
        <f t="shared" si="31"/>
        <v>10.504999999999997</v>
      </c>
      <c r="AP67" s="119"/>
      <c r="AQ67" s="106">
        <f t="shared" si="21"/>
        <v>0</v>
      </c>
      <c r="AR67" s="106">
        <f t="shared" si="22"/>
        <v>0</v>
      </c>
      <c r="BC67" s="94">
        <v>63</v>
      </c>
      <c r="BD67" s="108" t="e">
        <f t="shared" si="23"/>
        <v>#N/A</v>
      </c>
      <c r="BE67" s="94" t="str">
        <f t="shared" si="30"/>
        <v/>
      </c>
      <c r="BF67" s="109" t="str">
        <f t="shared" si="24"/>
        <v/>
      </c>
      <c r="BG67" s="109" t="str">
        <f t="shared" si="25"/>
        <v/>
      </c>
      <c r="BH67" s="109" t="str">
        <f t="shared" si="26"/>
        <v/>
      </c>
      <c r="BI67" s="109" t="str">
        <f t="shared" si="27"/>
        <v/>
      </c>
      <c r="BJ67" s="109" t="e">
        <f t="shared" si="28"/>
        <v>#N/A</v>
      </c>
      <c r="BK67" s="96"/>
      <c r="BL67" s="96"/>
      <c r="BM67" s="96"/>
      <c r="BN67" s="96"/>
      <c r="BO67" s="96"/>
      <c r="BP67" s="96"/>
      <c r="BQ67" s="96"/>
      <c r="BR67" s="96"/>
    </row>
    <row r="68" spans="1:70" s="92" customFormat="1" ht="13.15" x14ac:dyDescent="0.4">
      <c r="B68" s="93">
        <v>64</v>
      </c>
      <c r="C68" s="116" t="str">
        <f t="shared" si="32"/>
        <v/>
      </c>
      <c r="P68" s="106">
        <v>5</v>
      </c>
      <c r="Q68" s="125">
        <f t="shared" si="37"/>
        <v>10.700000040000003</v>
      </c>
      <c r="R68" s="125">
        <f t="shared" si="38"/>
        <v>10.800000040000002</v>
      </c>
      <c r="S68" s="125">
        <f t="shared" si="39"/>
        <v>10.750000040000003</v>
      </c>
      <c r="T68" s="126">
        <f t="shared" si="33"/>
        <v>0.1</v>
      </c>
      <c r="U68" s="127">
        <f t="shared" si="34"/>
        <v>26</v>
      </c>
      <c r="V68" s="128">
        <f t="shared" si="35"/>
        <v>1</v>
      </c>
      <c r="W68" s="127">
        <f t="shared" si="40"/>
        <v>1</v>
      </c>
      <c r="X68" s="128">
        <f t="shared" si="36"/>
        <v>3.8461538461538464E-2</v>
      </c>
      <c r="Y68" s="129">
        <f t="shared" si="41"/>
        <v>0.38461538461538464</v>
      </c>
      <c r="AD68" s="119">
        <v>64</v>
      </c>
      <c r="AE68" s="106">
        <f t="shared" si="18"/>
        <v>26</v>
      </c>
      <c r="AF68" s="119">
        <f t="shared" si="16"/>
        <v>10.33</v>
      </c>
      <c r="AG68" s="95">
        <f t="shared" si="19"/>
        <v>12</v>
      </c>
      <c r="AH68" s="95">
        <f t="shared" si="20"/>
        <v>10</v>
      </c>
      <c r="AI68" s="120">
        <f t="shared" si="31"/>
        <v>10.378785896192221</v>
      </c>
      <c r="AJ68" s="120">
        <f t="shared" si="31"/>
        <v>10.631214103807773</v>
      </c>
      <c r="AK68" s="120">
        <f t="shared" si="31"/>
        <v>10.252571792384446</v>
      </c>
      <c r="AL68" s="120">
        <f t="shared" si="31"/>
        <v>10.757428207615549</v>
      </c>
      <c r="AM68" s="120">
        <f t="shared" si="31"/>
        <v>10.12635768857667</v>
      </c>
      <c r="AN68" s="120">
        <f t="shared" si="31"/>
        <v>10.883642311423325</v>
      </c>
      <c r="AO68" s="120">
        <f t="shared" si="31"/>
        <v>10.504999999999997</v>
      </c>
      <c r="AP68" s="119"/>
      <c r="AQ68" s="106">
        <f t="shared" si="21"/>
        <v>0</v>
      </c>
      <c r="AR68" s="106">
        <f t="shared" si="22"/>
        <v>0</v>
      </c>
      <c r="BC68" s="94">
        <v>64</v>
      </c>
      <c r="BD68" s="108" t="e">
        <f t="shared" si="23"/>
        <v>#N/A</v>
      </c>
      <c r="BE68" s="94" t="str">
        <f t="shared" si="30"/>
        <v/>
      </c>
      <c r="BF68" s="109" t="str">
        <f t="shared" si="24"/>
        <v/>
      </c>
      <c r="BG68" s="109" t="str">
        <f t="shared" si="25"/>
        <v/>
      </c>
      <c r="BH68" s="109" t="str">
        <f t="shared" si="26"/>
        <v/>
      </c>
      <c r="BI68" s="109" t="str">
        <f t="shared" si="27"/>
        <v/>
      </c>
      <c r="BJ68" s="109" t="e">
        <f t="shared" si="28"/>
        <v>#N/A</v>
      </c>
      <c r="BK68" s="96"/>
      <c r="BL68" s="96"/>
      <c r="BM68" s="96"/>
      <c r="BN68" s="96"/>
      <c r="BO68" s="96"/>
      <c r="BP68" s="96"/>
      <c r="BQ68" s="96"/>
      <c r="BR68" s="96"/>
    </row>
    <row r="69" spans="1:70" s="92" customFormat="1" ht="13.15" x14ac:dyDescent="0.4">
      <c r="B69" s="88">
        <v>65</v>
      </c>
      <c r="C69" s="116" t="str">
        <f t="shared" si="32"/>
        <v/>
      </c>
      <c r="P69" s="106">
        <v>6</v>
      </c>
      <c r="Q69" s="125">
        <f t="shared" si="37"/>
        <v>10.700000040000003</v>
      </c>
      <c r="R69" s="125">
        <f t="shared" si="38"/>
        <v>10.800000040000002</v>
      </c>
      <c r="S69" s="125">
        <f t="shared" si="39"/>
        <v>10.750000040000003</v>
      </c>
      <c r="T69" s="126">
        <f t="shared" si="33"/>
        <v>0.1</v>
      </c>
      <c r="U69" s="127">
        <f t="shared" si="34"/>
        <v>26</v>
      </c>
      <c r="V69" s="128">
        <f t="shared" si="35"/>
        <v>1</v>
      </c>
      <c r="W69" s="127">
        <f t="shared" si="40"/>
        <v>0</v>
      </c>
      <c r="X69" s="128">
        <f t="shared" si="36"/>
        <v>0</v>
      </c>
      <c r="Y69" s="129">
        <f t="shared" si="41"/>
        <v>0</v>
      </c>
      <c r="AD69" s="119">
        <v>65</v>
      </c>
      <c r="AE69" s="106">
        <f t="shared" ref="AE69:AE100" si="42">IF((Anzahl&gt;AD69),AD69,Anzahl)</f>
        <v>26</v>
      </c>
      <c r="AF69" s="119">
        <f t="shared" si="16"/>
        <v>10.33</v>
      </c>
      <c r="AG69" s="95">
        <f t="shared" ref="AG69:AG100" si="43">IF(C69&lt;&gt;"",OGW,AG68)</f>
        <v>12</v>
      </c>
      <c r="AH69" s="95">
        <f t="shared" ref="AH69:AH100" si="44">IF(C69&lt;&gt;"",UGW,AH68)</f>
        <v>10</v>
      </c>
      <c r="AI69" s="120">
        <f t="shared" si="31"/>
        <v>10.378785896192221</v>
      </c>
      <c r="AJ69" s="120">
        <f t="shared" si="31"/>
        <v>10.631214103807773</v>
      </c>
      <c r="AK69" s="120">
        <f t="shared" si="31"/>
        <v>10.252571792384446</v>
      </c>
      <c r="AL69" s="120">
        <f t="shared" si="31"/>
        <v>10.757428207615549</v>
      </c>
      <c r="AM69" s="120">
        <f t="shared" si="31"/>
        <v>10.12635768857667</v>
      </c>
      <c r="AN69" s="120">
        <f t="shared" si="31"/>
        <v>10.883642311423325</v>
      </c>
      <c r="AO69" s="120">
        <f t="shared" si="31"/>
        <v>10.504999999999997</v>
      </c>
      <c r="AP69" s="119"/>
      <c r="AQ69" s="106">
        <f t="shared" ref="AQ69:AQ100" si="45">IF(AND(C69&lt;&gt;"",C69&lt;UGW),1,0)</f>
        <v>0</v>
      </c>
      <c r="AR69" s="106">
        <f t="shared" ref="AR69:AR100" si="46">IF(AND(C69&lt;&gt;"",C69&gt;OGW),1,0)</f>
        <v>0</v>
      </c>
      <c r="BC69" s="94">
        <v>65</v>
      </c>
      <c r="BD69" s="108" t="e">
        <f t="shared" ref="BD69:BD100" si="47">IF(C69="",NA(),SMALL(xi,BE69))</f>
        <v>#N/A</v>
      </c>
      <c r="BE69" s="94" t="str">
        <f t="shared" si="30"/>
        <v/>
      </c>
      <c r="BF69" s="109" t="str">
        <f t="shared" ref="BF69:BF100" si="48">IF(C69="","",NORMSDIST((BD69-Mittelwert)/Standardabweichung))</f>
        <v/>
      </c>
      <c r="BG69" s="109" t="str">
        <f t="shared" ref="BG69:BG100" si="49">IF(C69="","",1-BF69)</f>
        <v/>
      </c>
      <c r="BH69" s="109" t="str">
        <f t="shared" ref="BH69:BH100" si="50">IF(C69="","",SMALL(BG,BE69))</f>
        <v/>
      </c>
      <c r="BI69" s="109" t="str">
        <f t="shared" ref="BI69:BI100" si="51">IF(C69="","",(2*BE69-1)*(LN(BH69)+LN(BF69)))</f>
        <v/>
      </c>
      <c r="BJ69" s="109" t="e">
        <f t="shared" ref="BJ69:BJ100" si="52">IF(C69="",NA(),NORMSINV((BE69-0.3)/(Anzahl+0.4)))</f>
        <v>#N/A</v>
      </c>
      <c r="BK69" s="96"/>
      <c r="BL69" s="96"/>
      <c r="BM69" s="96"/>
      <c r="BN69" s="96"/>
      <c r="BO69" s="96"/>
      <c r="BP69" s="96"/>
      <c r="BQ69" s="96"/>
      <c r="BR69" s="96"/>
    </row>
    <row r="70" spans="1:70" s="92" customFormat="1" ht="13.15" x14ac:dyDescent="0.4">
      <c r="B70" s="93">
        <v>66</v>
      </c>
      <c r="C70" s="116" t="str">
        <f t="shared" si="32"/>
        <v/>
      </c>
      <c r="P70" s="106">
        <v>7</v>
      </c>
      <c r="Q70" s="125">
        <f t="shared" si="37"/>
        <v>10.700000040000003</v>
      </c>
      <c r="R70" s="125">
        <f t="shared" si="38"/>
        <v>10.800000040000002</v>
      </c>
      <c r="S70" s="125">
        <f t="shared" si="39"/>
        <v>10.750000040000003</v>
      </c>
      <c r="T70" s="126">
        <f t="shared" si="33"/>
        <v>0.1</v>
      </c>
      <c r="U70" s="127">
        <f t="shared" si="34"/>
        <v>26</v>
      </c>
      <c r="V70" s="128">
        <f t="shared" si="35"/>
        <v>1</v>
      </c>
      <c r="W70" s="127">
        <f t="shared" si="40"/>
        <v>0</v>
      </c>
      <c r="X70" s="128">
        <f t="shared" si="36"/>
        <v>0</v>
      </c>
      <c r="Y70" s="129">
        <f t="shared" si="41"/>
        <v>0</v>
      </c>
      <c r="AD70" s="119">
        <v>66</v>
      </c>
      <c r="AE70" s="106">
        <f t="shared" si="42"/>
        <v>26</v>
      </c>
      <c r="AF70" s="119">
        <f t="shared" si="16"/>
        <v>10.33</v>
      </c>
      <c r="AG70" s="95">
        <f t="shared" si="43"/>
        <v>12</v>
      </c>
      <c r="AH70" s="95">
        <f t="shared" si="44"/>
        <v>10</v>
      </c>
      <c r="AI70" s="120">
        <f t="shared" ref="AI70:AO85" si="53">AI69</f>
        <v>10.378785896192221</v>
      </c>
      <c r="AJ70" s="120">
        <f t="shared" si="53"/>
        <v>10.631214103807773</v>
      </c>
      <c r="AK70" s="120">
        <f t="shared" si="53"/>
        <v>10.252571792384446</v>
      </c>
      <c r="AL70" s="120">
        <f t="shared" si="53"/>
        <v>10.757428207615549</v>
      </c>
      <c r="AM70" s="120">
        <f t="shared" si="53"/>
        <v>10.12635768857667</v>
      </c>
      <c r="AN70" s="120">
        <f t="shared" si="53"/>
        <v>10.883642311423325</v>
      </c>
      <c r="AO70" s="120">
        <f t="shared" si="53"/>
        <v>10.504999999999997</v>
      </c>
      <c r="AP70" s="119"/>
      <c r="AQ70" s="106">
        <f t="shared" si="45"/>
        <v>0</v>
      </c>
      <c r="AR70" s="106">
        <f t="shared" si="46"/>
        <v>0</v>
      </c>
      <c r="BC70" s="94">
        <v>66</v>
      </c>
      <c r="BD70" s="108" t="e">
        <f t="shared" si="47"/>
        <v>#N/A</v>
      </c>
      <c r="BE70" s="94" t="str">
        <f t="shared" ref="BE70:BE101" si="54">IF(C70="","",1+BE69)</f>
        <v/>
      </c>
      <c r="BF70" s="109" t="str">
        <f t="shared" si="48"/>
        <v/>
      </c>
      <c r="BG70" s="109" t="str">
        <f t="shared" si="49"/>
        <v/>
      </c>
      <c r="BH70" s="109" t="str">
        <f t="shared" si="50"/>
        <v/>
      </c>
      <c r="BI70" s="109" t="str">
        <f t="shared" si="51"/>
        <v/>
      </c>
      <c r="BJ70" s="109" t="e">
        <f t="shared" si="52"/>
        <v>#N/A</v>
      </c>
      <c r="BK70" s="96"/>
      <c r="BL70" s="96"/>
      <c r="BM70" s="96"/>
      <c r="BN70" s="96"/>
      <c r="BO70" s="96"/>
      <c r="BP70" s="96"/>
      <c r="BQ70" s="96"/>
      <c r="BR70" s="96"/>
    </row>
    <row r="71" spans="1:70" s="132" customFormat="1" ht="13.15" x14ac:dyDescent="0.4">
      <c r="A71" s="92"/>
      <c r="B71" s="88">
        <v>67</v>
      </c>
      <c r="C71" s="116" t="str">
        <f t="shared" si="32"/>
        <v/>
      </c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106">
        <v>8</v>
      </c>
      <c r="Q71" s="125">
        <f t="shared" si="37"/>
        <v>10.700000040000003</v>
      </c>
      <c r="R71" s="125">
        <f t="shared" si="38"/>
        <v>10.800000040000002</v>
      </c>
      <c r="S71" s="125">
        <f t="shared" si="39"/>
        <v>10.750000040000003</v>
      </c>
      <c r="T71" s="126">
        <f t="shared" si="33"/>
        <v>0.1</v>
      </c>
      <c r="U71" s="127">
        <f t="shared" si="34"/>
        <v>26</v>
      </c>
      <c r="V71" s="128">
        <f t="shared" si="35"/>
        <v>1</v>
      </c>
      <c r="W71" s="127">
        <f t="shared" si="40"/>
        <v>0</v>
      </c>
      <c r="X71" s="128">
        <f t="shared" si="36"/>
        <v>0</v>
      </c>
      <c r="Y71" s="129">
        <f t="shared" si="41"/>
        <v>0</v>
      </c>
      <c r="Z71" s="92"/>
      <c r="AA71" s="92"/>
      <c r="AB71" s="92"/>
      <c r="AC71" s="92"/>
      <c r="AD71" s="119">
        <v>67</v>
      </c>
      <c r="AE71" s="106">
        <f t="shared" si="42"/>
        <v>26</v>
      </c>
      <c r="AF71" s="130">
        <f t="shared" si="16"/>
        <v>10.33</v>
      </c>
      <c r="AG71" s="95">
        <f t="shared" si="43"/>
        <v>12</v>
      </c>
      <c r="AH71" s="95">
        <f t="shared" si="44"/>
        <v>10</v>
      </c>
      <c r="AI71" s="131">
        <f t="shared" si="53"/>
        <v>10.378785896192221</v>
      </c>
      <c r="AJ71" s="131">
        <f t="shared" si="53"/>
        <v>10.631214103807773</v>
      </c>
      <c r="AK71" s="131">
        <f t="shared" si="53"/>
        <v>10.252571792384446</v>
      </c>
      <c r="AL71" s="131">
        <f t="shared" si="53"/>
        <v>10.757428207615549</v>
      </c>
      <c r="AM71" s="131">
        <f t="shared" si="53"/>
        <v>10.12635768857667</v>
      </c>
      <c r="AN71" s="131">
        <f t="shared" si="53"/>
        <v>10.883642311423325</v>
      </c>
      <c r="AO71" s="131">
        <f t="shared" si="53"/>
        <v>10.504999999999997</v>
      </c>
      <c r="AP71" s="130"/>
      <c r="AQ71" s="95">
        <f t="shared" si="45"/>
        <v>0</v>
      </c>
      <c r="AR71" s="95">
        <f t="shared" si="46"/>
        <v>0</v>
      </c>
      <c r="BC71" s="94">
        <v>67</v>
      </c>
      <c r="BD71" s="108" t="e">
        <f t="shared" si="47"/>
        <v>#N/A</v>
      </c>
      <c r="BE71" s="94" t="str">
        <f t="shared" si="54"/>
        <v/>
      </c>
      <c r="BF71" s="109" t="str">
        <f t="shared" si="48"/>
        <v/>
      </c>
      <c r="BG71" s="109" t="str">
        <f t="shared" si="49"/>
        <v/>
      </c>
      <c r="BH71" s="109" t="str">
        <f t="shared" si="50"/>
        <v/>
      </c>
      <c r="BI71" s="109" t="str">
        <f t="shared" si="51"/>
        <v/>
      </c>
      <c r="BJ71" s="109" t="e">
        <f t="shared" si="52"/>
        <v>#N/A</v>
      </c>
      <c r="BK71" s="96"/>
      <c r="BL71" s="96"/>
      <c r="BM71" s="96"/>
      <c r="BN71" s="96"/>
      <c r="BO71" s="96"/>
      <c r="BP71" s="96"/>
      <c r="BQ71" s="96"/>
      <c r="BR71" s="96"/>
    </row>
    <row r="72" spans="1:70" s="132" customFormat="1" ht="13.15" x14ac:dyDescent="0.4">
      <c r="A72" s="92"/>
      <c r="B72" s="93">
        <v>68</v>
      </c>
      <c r="C72" s="116" t="str">
        <f t="shared" si="32"/>
        <v/>
      </c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106">
        <v>9</v>
      </c>
      <c r="Q72" s="125">
        <f t="shared" si="37"/>
        <v>10.700000040000003</v>
      </c>
      <c r="R72" s="125">
        <f t="shared" si="38"/>
        <v>10.800000040000002</v>
      </c>
      <c r="S72" s="125">
        <f t="shared" si="39"/>
        <v>10.750000040000003</v>
      </c>
      <c r="T72" s="126">
        <f t="shared" si="33"/>
        <v>0.1</v>
      </c>
      <c r="U72" s="127">
        <f t="shared" si="34"/>
        <v>26</v>
      </c>
      <c r="V72" s="128">
        <f t="shared" si="35"/>
        <v>1</v>
      </c>
      <c r="W72" s="127">
        <f t="shared" si="40"/>
        <v>0</v>
      </c>
      <c r="X72" s="128">
        <f t="shared" si="36"/>
        <v>0</v>
      </c>
      <c r="Y72" s="129">
        <f t="shared" si="41"/>
        <v>0</v>
      </c>
      <c r="Z72" s="92"/>
      <c r="AA72" s="92"/>
      <c r="AB72" s="92"/>
      <c r="AC72" s="92"/>
      <c r="AD72" s="119">
        <v>68</v>
      </c>
      <c r="AE72" s="106">
        <f t="shared" si="42"/>
        <v>26</v>
      </c>
      <c r="AF72" s="130">
        <f t="shared" ref="AF72:AF135" si="55">IF(C72&lt;&gt;"",C72,AF71)</f>
        <v>10.33</v>
      </c>
      <c r="AG72" s="95">
        <f t="shared" si="43"/>
        <v>12</v>
      </c>
      <c r="AH72" s="95">
        <f t="shared" si="44"/>
        <v>10</v>
      </c>
      <c r="AI72" s="131">
        <f t="shared" si="53"/>
        <v>10.378785896192221</v>
      </c>
      <c r="AJ72" s="131">
        <f t="shared" si="53"/>
        <v>10.631214103807773</v>
      </c>
      <c r="AK72" s="131">
        <f t="shared" si="53"/>
        <v>10.252571792384446</v>
      </c>
      <c r="AL72" s="131">
        <f t="shared" si="53"/>
        <v>10.757428207615549</v>
      </c>
      <c r="AM72" s="131">
        <f t="shared" si="53"/>
        <v>10.12635768857667</v>
      </c>
      <c r="AN72" s="131">
        <f t="shared" si="53"/>
        <v>10.883642311423325</v>
      </c>
      <c r="AO72" s="131">
        <f t="shared" si="53"/>
        <v>10.504999999999997</v>
      </c>
      <c r="AP72" s="130"/>
      <c r="AQ72" s="95">
        <f t="shared" si="45"/>
        <v>0</v>
      </c>
      <c r="AR72" s="95">
        <f t="shared" si="46"/>
        <v>0</v>
      </c>
      <c r="BC72" s="94">
        <v>68</v>
      </c>
      <c r="BD72" s="108" t="e">
        <f t="shared" si="47"/>
        <v>#N/A</v>
      </c>
      <c r="BE72" s="94" t="str">
        <f t="shared" si="54"/>
        <v/>
      </c>
      <c r="BF72" s="109" t="str">
        <f t="shared" si="48"/>
        <v/>
      </c>
      <c r="BG72" s="109" t="str">
        <f t="shared" si="49"/>
        <v/>
      </c>
      <c r="BH72" s="109" t="str">
        <f t="shared" si="50"/>
        <v/>
      </c>
      <c r="BI72" s="109" t="str">
        <f t="shared" si="51"/>
        <v/>
      </c>
      <c r="BJ72" s="109" t="e">
        <f t="shared" si="52"/>
        <v>#N/A</v>
      </c>
      <c r="BK72" s="96"/>
      <c r="BL72" s="96"/>
      <c r="BM72" s="96"/>
      <c r="BN72" s="96"/>
      <c r="BO72" s="96"/>
      <c r="BP72" s="96"/>
      <c r="BQ72" s="96"/>
      <c r="BR72" s="96"/>
    </row>
    <row r="73" spans="1:70" s="132" customFormat="1" ht="13.15" x14ac:dyDescent="0.4">
      <c r="A73" s="92"/>
      <c r="B73" s="88">
        <v>69</v>
      </c>
      <c r="C73" s="116" t="str">
        <f t="shared" si="32"/>
        <v/>
      </c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106">
        <v>10</v>
      </c>
      <c r="Q73" s="125">
        <f t="shared" si="37"/>
        <v>10.700000040000003</v>
      </c>
      <c r="R73" s="125">
        <f t="shared" si="38"/>
        <v>10.800000040000002</v>
      </c>
      <c r="S73" s="125">
        <f t="shared" si="39"/>
        <v>10.750000040000003</v>
      </c>
      <c r="T73" s="126">
        <f t="shared" si="33"/>
        <v>0.1</v>
      </c>
      <c r="U73" s="127">
        <f t="shared" si="34"/>
        <v>26</v>
      </c>
      <c r="V73" s="128">
        <f t="shared" si="35"/>
        <v>1</v>
      </c>
      <c r="W73" s="127">
        <f t="shared" si="40"/>
        <v>0</v>
      </c>
      <c r="X73" s="128">
        <f t="shared" si="36"/>
        <v>0</v>
      </c>
      <c r="Y73" s="129">
        <f t="shared" si="41"/>
        <v>0</v>
      </c>
      <c r="Z73" s="92"/>
      <c r="AA73" s="92"/>
      <c r="AB73" s="92"/>
      <c r="AC73" s="92"/>
      <c r="AD73" s="119">
        <v>69</v>
      </c>
      <c r="AE73" s="106">
        <f t="shared" si="42"/>
        <v>26</v>
      </c>
      <c r="AF73" s="130">
        <f t="shared" si="55"/>
        <v>10.33</v>
      </c>
      <c r="AG73" s="95">
        <f t="shared" si="43"/>
        <v>12</v>
      </c>
      <c r="AH73" s="95">
        <f t="shared" si="44"/>
        <v>10</v>
      </c>
      <c r="AI73" s="131">
        <f t="shared" si="53"/>
        <v>10.378785896192221</v>
      </c>
      <c r="AJ73" s="131">
        <f t="shared" si="53"/>
        <v>10.631214103807773</v>
      </c>
      <c r="AK73" s="131">
        <f t="shared" si="53"/>
        <v>10.252571792384446</v>
      </c>
      <c r="AL73" s="131">
        <f t="shared" si="53"/>
        <v>10.757428207615549</v>
      </c>
      <c r="AM73" s="131">
        <f t="shared" si="53"/>
        <v>10.12635768857667</v>
      </c>
      <c r="AN73" s="131">
        <f t="shared" si="53"/>
        <v>10.883642311423325</v>
      </c>
      <c r="AO73" s="131">
        <f t="shared" si="53"/>
        <v>10.504999999999997</v>
      </c>
      <c r="AP73" s="130"/>
      <c r="AQ73" s="95">
        <f t="shared" si="45"/>
        <v>0</v>
      </c>
      <c r="AR73" s="95">
        <f t="shared" si="46"/>
        <v>0</v>
      </c>
      <c r="BC73" s="94">
        <v>69</v>
      </c>
      <c r="BD73" s="108" t="e">
        <f t="shared" si="47"/>
        <v>#N/A</v>
      </c>
      <c r="BE73" s="94" t="str">
        <f t="shared" si="54"/>
        <v/>
      </c>
      <c r="BF73" s="109" t="str">
        <f t="shared" si="48"/>
        <v/>
      </c>
      <c r="BG73" s="109" t="str">
        <f t="shared" si="49"/>
        <v/>
      </c>
      <c r="BH73" s="109" t="str">
        <f t="shared" si="50"/>
        <v/>
      </c>
      <c r="BI73" s="109" t="str">
        <f t="shared" si="51"/>
        <v/>
      </c>
      <c r="BJ73" s="109" t="e">
        <f t="shared" si="52"/>
        <v>#N/A</v>
      </c>
      <c r="BK73" s="96"/>
      <c r="BL73" s="96"/>
      <c r="BM73" s="96"/>
      <c r="BN73" s="96"/>
      <c r="BO73" s="96"/>
      <c r="BP73" s="96"/>
      <c r="BQ73" s="96"/>
      <c r="BR73" s="96"/>
    </row>
    <row r="74" spans="1:70" s="132" customFormat="1" ht="13.15" x14ac:dyDescent="0.4">
      <c r="A74" s="92"/>
      <c r="B74" s="93">
        <v>70</v>
      </c>
      <c r="C74" s="116" t="str">
        <f t="shared" si="32"/>
        <v/>
      </c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106">
        <v>11</v>
      </c>
      <c r="Q74" s="125">
        <f t="shared" si="37"/>
        <v>10.700000040000003</v>
      </c>
      <c r="R74" s="125">
        <f t="shared" si="38"/>
        <v>10.800000040000002</v>
      </c>
      <c r="S74" s="125">
        <f t="shared" si="39"/>
        <v>10.750000040000003</v>
      </c>
      <c r="T74" s="126">
        <f t="shared" si="33"/>
        <v>0.1</v>
      </c>
      <c r="U74" s="127">
        <f t="shared" si="34"/>
        <v>26</v>
      </c>
      <c r="V74" s="128">
        <f t="shared" si="35"/>
        <v>1</v>
      </c>
      <c r="W74" s="127">
        <f t="shared" si="40"/>
        <v>0</v>
      </c>
      <c r="X74" s="128">
        <f t="shared" si="36"/>
        <v>0</v>
      </c>
      <c r="Y74" s="129">
        <f t="shared" si="41"/>
        <v>0</v>
      </c>
      <c r="Z74" s="92"/>
      <c r="AA74" s="92"/>
      <c r="AB74" s="92"/>
      <c r="AC74" s="92"/>
      <c r="AD74" s="119">
        <v>70</v>
      </c>
      <c r="AE74" s="106">
        <f t="shared" si="42"/>
        <v>26</v>
      </c>
      <c r="AF74" s="130">
        <f t="shared" si="55"/>
        <v>10.33</v>
      </c>
      <c r="AG74" s="95">
        <f t="shared" si="43"/>
        <v>12</v>
      </c>
      <c r="AH74" s="95">
        <f t="shared" si="44"/>
        <v>10</v>
      </c>
      <c r="AI74" s="131">
        <f t="shared" si="53"/>
        <v>10.378785896192221</v>
      </c>
      <c r="AJ74" s="131">
        <f t="shared" si="53"/>
        <v>10.631214103807773</v>
      </c>
      <c r="AK74" s="131">
        <f t="shared" si="53"/>
        <v>10.252571792384446</v>
      </c>
      <c r="AL74" s="131">
        <f t="shared" si="53"/>
        <v>10.757428207615549</v>
      </c>
      <c r="AM74" s="131">
        <f t="shared" si="53"/>
        <v>10.12635768857667</v>
      </c>
      <c r="AN74" s="131">
        <f t="shared" si="53"/>
        <v>10.883642311423325</v>
      </c>
      <c r="AO74" s="131">
        <f t="shared" si="53"/>
        <v>10.504999999999997</v>
      </c>
      <c r="AP74" s="130"/>
      <c r="AQ74" s="95">
        <f t="shared" si="45"/>
        <v>0</v>
      </c>
      <c r="AR74" s="95">
        <f t="shared" si="46"/>
        <v>0</v>
      </c>
      <c r="BC74" s="94">
        <v>70</v>
      </c>
      <c r="BD74" s="108" t="e">
        <f t="shared" si="47"/>
        <v>#N/A</v>
      </c>
      <c r="BE74" s="94" t="str">
        <f t="shared" si="54"/>
        <v/>
      </c>
      <c r="BF74" s="109" t="str">
        <f t="shared" si="48"/>
        <v/>
      </c>
      <c r="BG74" s="109" t="str">
        <f t="shared" si="49"/>
        <v/>
      </c>
      <c r="BH74" s="109" t="str">
        <f t="shared" si="50"/>
        <v/>
      </c>
      <c r="BI74" s="109" t="str">
        <f t="shared" si="51"/>
        <v/>
      </c>
      <c r="BJ74" s="109" t="e">
        <f t="shared" si="52"/>
        <v>#N/A</v>
      </c>
      <c r="BK74" s="96"/>
      <c r="BL74" s="96"/>
      <c r="BM74" s="96"/>
      <c r="BN74" s="96"/>
      <c r="BO74" s="96"/>
      <c r="BP74" s="96"/>
      <c r="BQ74" s="96"/>
      <c r="BR74" s="96"/>
    </row>
    <row r="75" spans="1:70" s="132" customFormat="1" ht="13.15" x14ac:dyDescent="0.4">
      <c r="A75" s="92"/>
      <c r="B75" s="88">
        <v>71</v>
      </c>
      <c r="C75" s="116" t="str">
        <f t="shared" si="32"/>
        <v/>
      </c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106">
        <v>12</v>
      </c>
      <c r="Q75" s="125">
        <f t="shared" si="37"/>
        <v>10.700000040000003</v>
      </c>
      <c r="R75" s="125">
        <f t="shared" si="38"/>
        <v>10.800000040000002</v>
      </c>
      <c r="S75" s="125">
        <f t="shared" si="39"/>
        <v>10.750000040000003</v>
      </c>
      <c r="T75" s="126">
        <f t="shared" si="33"/>
        <v>0.1</v>
      </c>
      <c r="U75" s="127">
        <f t="shared" si="34"/>
        <v>26</v>
      </c>
      <c r="V75" s="128">
        <f t="shared" si="35"/>
        <v>1</v>
      </c>
      <c r="W75" s="127">
        <f t="shared" si="40"/>
        <v>0</v>
      </c>
      <c r="X75" s="128">
        <f t="shared" si="36"/>
        <v>0</v>
      </c>
      <c r="Y75" s="129">
        <f t="shared" si="41"/>
        <v>0</v>
      </c>
      <c r="Z75" s="92"/>
      <c r="AA75" s="92"/>
      <c r="AB75" s="92"/>
      <c r="AC75" s="92"/>
      <c r="AD75" s="119">
        <v>71</v>
      </c>
      <c r="AE75" s="106">
        <f t="shared" si="42"/>
        <v>26</v>
      </c>
      <c r="AF75" s="130">
        <f t="shared" si="55"/>
        <v>10.33</v>
      </c>
      <c r="AG75" s="95">
        <f t="shared" si="43"/>
        <v>12</v>
      </c>
      <c r="AH75" s="95">
        <f t="shared" si="44"/>
        <v>10</v>
      </c>
      <c r="AI75" s="131">
        <f t="shared" si="53"/>
        <v>10.378785896192221</v>
      </c>
      <c r="AJ75" s="131">
        <f t="shared" si="53"/>
        <v>10.631214103807773</v>
      </c>
      <c r="AK75" s="131">
        <f t="shared" si="53"/>
        <v>10.252571792384446</v>
      </c>
      <c r="AL75" s="131">
        <f t="shared" si="53"/>
        <v>10.757428207615549</v>
      </c>
      <c r="AM75" s="131">
        <f t="shared" si="53"/>
        <v>10.12635768857667</v>
      </c>
      <c r="AN75" s="131">
        <f t="shared" si="53"/>
        <v>10.883642311423325</v>
      </c>
      <c r="AO75" s="131">
        <f t="shared" si="53"/>
        <v>10.504999999999997</v>
      </c>
      <c r="AP75" s="130"/>
      <c r="AQ75" s="95">
        <f t="shared" si="45"/>
        <v>0</v>
      </c>
      <c r="AR75" s="95">
        <f t="shared" si="46"/>
        <v>0</v>
      </c>
      <c r="BC75" s="94">
        <v>71</v>
      </c>
      <c r="BD75" s="108" t="e">
        <f t="shared" si="47"/>
        <v>#N/A</v>
      </c>
      <c r="BE75" s="94" t="str">
        <f t="shared" si="54"/>
        <v/>
      </c>
      <c r="BF75" s="109" t="str">
        <f t="shared" si="48"/>
        <v/>
      </c>
      <c r="BG75" s="109" t="str">
        <f t="shared" si="49"/>
        <v/>
      </c>
      <c r="BH75" s="109" t="str">
        <f t="shared" si="50"/>
        <v/>
      </c>
      <c r="BI75" s="109" t="str">
        <f t="shared" si="51"/>
        <v/>
      </c>
      <c r="BJ75" s="109" t="e">
        <f t="shared" si="52"/>
        <v>#N/A</v>
      </c>
      <c r="BK75" s="96"/>
      <c r="BL75" s="96"/>
      <c r="BM75" s="96"/>
      <c r="BN75" s="96"/>
      <c r="BO75" s="96"/>
      <c r="BP75" s="96"/>
      <c r="BQ75" s="96"/>
      <c r="BR75" s="96"/>
    </row>
    <row r="76" spans="1:70" s="132" customFormat="1" ht="13.15" x14ac:dyDescent="0.4">
      <c r="A76" s="92"/>
      <c r="B76" s="93">
        <v>72</v>
      </c>
      <c r="C76" s="116" t="str">
        <f t="shared" si="32"/>
        <v/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106">
        <v>13</v>
      </c>
      <c r="Q76" s="125">
        <f t="shared" si="37"/>
        <v>10.700000040000003</v>
      </c>
      <c r="R76" s="125">
        <f t="shared" si="38"/>
        <v>10.800000040000002</v>
      </c>
      <c r="S76" s="125">
        <f t="shared" si="39"/>
        <v>10.750000040000003</v>
      </c>
      <c r="T76" s="126">
        <f t="shared" si="33"/>
        <v>0.1</v>
      </c>
      <c r="U76" s="127">
        <f t="shared" si="34"/>
        <v>26</v>
      </c>
      <c r="V76" s="128">
        <f t="shared" si="35"/>
        <v>1</v>
      </c>
      <c r="W76" s="127">
        <f t="shared" si="40"/>
        <v>0</v>
      </c>
      <c r="X76" s="128">
        <f t="shared" si="36"/>
        <v>0</v>
      </c>
      <c r="Y76" s="129">
        <f t="shared" si="41"/>
        <v>0</v>
      </c>
      <c r="Z76" s="92"/>
      <c r="AA76" s="92"/>
      <c r="AB76" s="92"/>
      <c r="AC76" s="92"/>
      <c r="AD76" s="119">
        <v>72</v>
      </c>
      <c r="AE76" s="106">
        <f t="shared" si="42"/>
        <v>26</v>
      </c>
      <c r="AF76" s="130">
        <f t="shared" si="55"/>
        <v>10.33</v>
      </c>
      <c r="AG76" s="95">
        <f t="shared" si="43"/>
        <v>12</v>
      </c>
      <c r="AH76" s="95">
        <f t="shared" si="44"/>
        <v>10</v>
      </c>
      <c r="AI76" s="131">
        <f t="shared" si="53"/>
        <v>10.378785896192221</v>
      </c>
      <c r="AJ76" s="131">
        <f t="shared" si="53"/>
        <v>10.631214103807773</v>
      </c>
      <c r="AK76" s="131">
        <f t="shared" si="53"/>
        <v>10.252571792384446</v>
      </c>
      <c r="AL76" s="131">
        <f t="shared" si="53"/>
        <v>10.757428207615549</v>
      </c>
      <c r="AM76" s="131">
        <f t="shared" si="53"/>
        <v>10.12635768857667</v>
      </c>
      <c r="AN76" s="131">
        <f t="shared" si="53"/>
        <v>10.883642311423325</v>
      </c>
      <c r="AO76" s="131">
        <f t="shared" si="53"/>
        <v>10.504999999999997</v>
      </c>
      <c r="AP76" s="130"/>
      <c r="AQ76" s="95">
        <f t="shared" si="45"/>
        <v>0</v>
      </c>
      <c r="AR76" s="95">
        <f t="shared" si="46"/>
        <v>0</v>
      </c>
      <c r="BC76" s="94">
        <v>72</v>
      </c>
      <c r="BD76" s="108" t="e">
        <f t="shared" si="47"/>
        <v>#N/A</v>
      </c>
      <c r="BE76" s="94" t="str">
        <f t="shared" si="54"/>
        <v/>
      </c>
      <c r="BF76" s="109" t="str">
        <f t="shared" si="48"/>
        <v/>
      </c>
      <c r="BG76" s="109" t="str">
        <f t="shared" si="49"/>
        <v/>
      </c>
      <c r="BH76" s="109" t="str">
        <f t="shared" si="50"/>
        <v/>
      </c>
      <c r="BI76" s="109" t="str">
        <f t="shared" si="51"/>
        <v/>
      </c>
      <c r="BJ76" s="109" t="e">
        <f t="shared" si="52"/>
        <v>#N/A</v>
      </c>
      <c r="BK76" s="96"/>
      <c r="BL76" s="96"/>
      <c r="BM76" s="96"/>
      <c r="BN76" s="96"/>
      <c r="BO76" s="96"/>
      <c r="BP76" s="96"/>
      <c r="BQ76" s="96"/>
      <c r="BR76" s="96"/>
    </row>
    <row r="77" spans="1:70" s="132" customFormat="1" ht="13.15" x14ac:dyDescent="0.4">
      <c r="A77" s="92"/>
      <c r="B77" s="88">
        <v>73</v>
      </c>
      <c r="C77" s="116" t="str">
        <f t="shared" si="32"/>
        <v/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106">
        <v>14</v>
      </c>
      <c r="Q77" s="125">
        <f t="shared" si="37"/>
        <v>10.700000040000003</v>
      </c>
      <c r="R77" s="125">
        <f t="shared" si="38"/>
        <v>10.800000040000002</v>
      </c>
      <c r="S77" s="125">
        <f t="shared" si="39"/>
        <v>10.750000040000003</v>
      </c>
      <c r="T77" s="126">
        <f t="shared" si="33"/>
        <v>0.1</v>
      </c>
      <c r="U77" s="127">
        <f t="shared" si="34"/>
        <v>26</v>
      </c>
      <c r="V77" s="128">
        <f t="shared" si="35"/>
        <v>1</v>
      </c>
      <c r="W77" s="127">
        <f t="shared" si="40"/>
        <v>0</v>
      </c>
      <c r="X77" s="128">
        <f t="shared" si="36"/>
        <v>0</v>
      </c>
      <c r="Y77" s="129">
        <f t="shared" si="41"/>
        <v>0</v>
      </c>
      <c r="Z77" s="92"/>
      <c r="AA77" s="92"/>
      <c r="AB77" s="92"/>
      <c r="AC77" s="92"/>
      <c r="AD77" s="119">
        <v>73</v>
      </c>
      <c r="AE77" s="106">
        <f t="shared" si="42"/>
        <v>26</v>
      </c>
      <c r="AF77" s="130">
        <f t="shared" si="55"/>
        <v>10.33</v>
      </c>
      <c r="AG77" s="95">
        <f t="shared" si="43"/>
        <v>12</v>
      </c>
      <c r="AH77" s="95">
        <f t="shared" si="44"/>
        <v>10</v>
      </c>
      <c r="AI77" s="131">
        <f t="shared" si="53"/>
        <v>10.378785896192221</v>
      </c>
      <c r="AJ77" s="131">
        <f t="shared" si="53"/>
        <v>10.631214103807773</v>
      </c>
      <c r="AK77" s="131">
        <f t="shared" si="53"/>
        <v>10.252571792384446</v>
      </c>
      <c r="AL77" s="131">
        <f t="shared" si="53"/>
        <v>10.757428207615549</v>
      </c>
      <c r="AM77" s="131">
        <f t="shared" si="53"/>
        <v>10.12635768857667</v>
      </c>
      <c r="AN77" s="131">
        <f t="shared" si="53"/>
        <v>10.883642311423325</v>
      </c>
      <c r="AO77" s="131">
        <f t="shared" si="53"/>
        <v>10.504999999999997</v>
      </c>
      <c r="AP77" s="130"/>
      <c r="AQ77" s="95">
        <f t="shared" si="45"/>
        <v>0</v>
      </c>
      <c r="AR77" s="95">
        <f t="shared" si="46"/>
        <v>0</v>
      </c>
      <c r="BC77" s="94">
        <v>73</v>
      </c>
      <c r="BD77" s="108" t="e">
        <f t="shared" si="47"/>
        <v>#N/A</v>
      </c>
      <c r="BE77" s="94" t="str">
        <f t="shared" si="54"/>
        <v/>
      </c>
      <c r="BF77" s="109" t="str">
        <f t="shared" si="48"/>
        <v/>
      </c>
      <c r="BG77" s="109" t="str">
        <f t="shared" si="49"/>
        <v/>
      </c>
      <c r="BH77" s="109" t="str">
        <f t="shared" si="50"/>
        <v/>
      </c>
      <c r="BI77" s="109" t="str">
        <f t="shared" si="51"/>
        <v/>
      </c>
      <c r="BJ77" s="109" t="e">
        <f t="shared" si="52"/>
        <v>#N/A</v>
      </c>
      <c r="BK77" s="96"/>
      <c r="BL77" s="96"/>
      <c r="BM77" s="96"/>
      <c r="BN77" s="96"/>
      <c r="BO77" s="96"/>
      <c r="BP77" s="96"/>
      <c r="BQ77" s="96"/>
      <c r="BR77" s="96"/>
    </row>
    <row r="78" spans="1:70" s="132" customFormat="1" ht="13.15" x14ac:dyDescent="0.4">
      <c r="A78" s="92"/>
      <c r="B78" s="93">
        <v>74</v>
      </c>
      <c r="C78" s="116" t="str">
        <f t="shared" si="32"/>
        <v/>
      </c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106">
        <v>15</v>
      </c>
      <c r="Q78" s="125">
        <f t="shared" si="37"/>
        <v>10.700000040000003</v>
      </c>
      <c r="R78" s="125">
        <f t="shared" si="38"/>
        <v>10.800000040000002</v>
      </c>
      <c r="S78" s="125">
        <f t="shared" si="39"/>
        <v>10.750000040000003</v>
      </c>
      <c r="T78" s="126">
        <f t="shared" si="33"/>
        <v>0.1</v>
      </c>
      <c r="U78" s="127">
        <f t="shared" si="34"/>
        <v>26</v>
      </c>
      <c r="V78" s="128">
        <f t="shared" si="35"/>
        <v>1</v>
      </c>
      <c r="W78" s="127">
        <f t="shared" si="40"/>
        <v>0</v>
      </c>
      <c r="X78" s="128">
        <f t="shared" si="36"/>
        <v>0</v>
      </c>
      <c r="Y78" s="129">
        <f t="shared" si="41"/>
        <v>0</v>
      </c>
      <c r="Z78" s="92"/>
      <c r="AA78" s="92"/>
      <c r="AB78" s="92"/>
      <c r="AC78" s="92"/>
      <c r="AD78" s="119">
        <v>74</v>
      </c>
      <c r="AE78" s="106">
        <f t="shared" si="42"/>
        <v>26</v>
      </c>
      <c r="AF78" s="130">
        <f t="shared" si="55"/>
        <v>10.33</v>
      </c>
      <c r="AG78" s="95">
        <f t="shared" si="43"/>
        <v>12</v>
      </c>
      <c r="AH78" s="95">
        <f t="shared" si="44"/>
        <v>10</v>
      </c>
      <c r="AI78" s="131">
        <f t="shared" si="53"/>
        <v>10.378785896192221</v>
      </c>
      <c r="AJ78" s="131">
        <f t="shared" si="53"/>
        <v>10.631214103807773</v>
      </c>
      <c r="AK78" s="131">
        <f t="shared" si="53"/>
        <v>10.252571792384446</v>
      </c>
      <c r="AL78" s="131">
        <f t="shared" si="53"/>
        <v>10.757428207615549</v>
      </c>
      <c r="AM78" s="131">
        <f t="shared" si="53"/>
        <v>10.12635768857667</v>
      </c>
      <c r="AN78" s="131">
        <f t="shared" si="53"/>
        <v>10.883642311423325</v>
      </c>
      <c r="AO78" s="131">
        <f t="shared" si="53"/>
        <v>10.504999999999997</v>
      </c>
      <c r="AP78" s="130"/>
      <c r="AQ78" s="95">
        <f t="shared" si="45"/>
        <v>0</v>
      </c>
      <c r="AR78" s="95">
        <f t="shared" si="46"/>
        <v>0</v>
      </c>
      <c r="BC78" s="94">
        <v>74</v>
      </c>
      <c r="BD78" s="108" t="e">
        <f t="shared" si="47"/>
        <v>#N/A</v>
      </c>
      <c r="BE78" s="94" t="str">
        <f t="shared" si="54"/>
        <v/>
      </c>
      <c r="BF78" s="109" t="str">
        <f t="shared" si="48"/>
        <v/>
      </c>
      <c r="BG78" s="109" t="str">
        <f t="shared" si="49"/>
        <v/>
      </c>
      <c r="BH78" s="109" t="str">
        <f t="shared" si="50"/>
        <v/>
      </c>
      <c r="BI78" s="109" t="str">
        <f t="shared" si="51"/>
        <v/>
      </c>
      <c r="BJ78" s="109" t="e">
        <f t="shared" si="52"/>
        <v>#N/A</v>
      </c>
      <c r="BK78" s="96"/>
      <c r="BL78" s="96"/>
      <c r="BM78" s="96"/>
      <c r="BN78" s="96"/>
      <c r="BO78" s="96"/>
      <c r="BP78" s="96"/>
      <c r="BQ78" s="96"/>
      <c r="BR78" s="96"/>
    </row>
    <row r="79" spans="1:70" s="132" customFormat="1" ht="13.15" x14ac:dyDescent="0.4">
      <c r="A79" s="92"/>
      <c r="B79" s="88">
        <v>75</v>
      </c>
      <c r="C79" s="116" t="str">
        <f t="shared" si="32"/>
        <v/>
      </c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106">
        <v>16</v>
      </c>
      <c r="Q79" s="125">
        <f t="shared" si="37"/>
        <v>10.700000040000003</v>
      </c>
      <c r="R79" s="125">
        <f t="shared" si="38"/>
        <v>10.800000040000002</v>
      </c>
      <c r="S79" s="125">
        <f t="shared" si="39"/>
        <v>10.750000040000003</v>
      </c>
      <c r="T79" s="126">
        <f t="shared" si="33"/>
        <v>0.1</v>
      </c>
      <c r="U79" s="127">
        <f t="shared" si="34"/>
        <v>26</v>
      </c>
      <c r="V79" s="128">
        <f t="shared" si="35"/>
        <v>1</v>
      </c>
      <c r="W79" s="127">
        <f t="shared" si="40"/>
        <v>0</v>
      </c>
      <c r="X79" s="128">
        <f t="shared" si="36"/>
        <v>0</v>
      </c>
      <c r="Y79" s="129">
        <f t="shared" si="41"/>
        <v>0</v>
      </c>
      <c r="Z79" s="92"/>
      <c r="AA79" s="92"/>
      <c r="AB79" s="92"/>
      <c r="AC79" s="92"/>
      <c r="AD79" s="119">
        <v>75</v>
      </c>
      <c r="AE79" s="106">
        <f t="shared" si="42"/>
        <v>26</v>
      </c>
      <c r="AF79" s="130">
        <f t="shared" si="55"/>
        <v>10.33</v>
      </c>
      <c r="AG79" s="95">
        <f t="shared" si="43"/>
        <v>12</v>
      </c>
      <c r="AH79" s="95">
        <f t="shared" si="44"/>
        <v>10</v>
      </c>
      <c r="AI79" s="131">
        <f t="shared" si="53"/>
        <v>10.378785896192221</v>
      </c>
      <c r="AJ79" s="131">
        <f t="shared" si="53"/>
        <v>10.631214103807773</v>
      </c>
      <c r="AK79" s="131">
        <f t="shared" si="53"/>
        <v>10.252571792384446</v>
      </c>
      <c r="AL79" s="131">
        <f t="shared" si="53"/>
        <v>10.757428207615549</v>
      </c>
      <c r="AM79" s="131">
        <f t="shared" si="53"/>
        <v>10.12635768857667</v>
      </c>
      <c r="AN79" s="131">
        <f t="shared" si="53"/>
        <v>10.883642311423325</v>
      </c>
      <c r="AO79" s="131">
        <f t="shared" si="53"/>
        <v>10.504999999999997</v>
      </c>
      <c r="AP79" s="130"/>
      <c r="AQ79" s="95">
        <f t="shared" si="45"/>
        <v>0</v>
      </c>
      <c r="AR79" s="95">
        <f t="shared" si="46"/>
        <v>0</v>
      </c>
      <c r="BC79" s="94">
        <v>75</v>
      </c>
      <c r="BD79" s="108" t="e">
        <f t="shared" si="47"/>
        <v>#N/A</v>
      </c>
      <c r="BE79" s="94" t="str">
        <f t="shared" si="54"/>
        <v/>
      </c>
      <c r="BF79" s="109" t="str">
        <f t="shared" si="48"/>
        <v/>
      </c>
      <c r="BG79" s="109" t="str">
        <f t="shared" si="49"/>
        <v/>
      </c>
      <c r="BH79" s="109" t="str">
        <f t="shared" si="50"/>
        <v/>
      </c>
      <c r="BI79" s="109" t="str">
        <f t="shared" si="51"/>
        <v/>
      </c>
      <c r="BJ79" s="109" t="e">
        <f t="shared" si="52"/>
        <v>#N/A</v>
      </c>
      <c r="BK79" s="96"/>
      <c r="BL79" s="96"/>
      <c r="BM79" s="96"/>
      <c r="BN79" s="96"/>
      <c r="BO79" s="96"/>
      <c r="BP79" s="96"/>
      <c r="BQ79" s="96"/>
      <c r="BR79" s="96"/>
    </row>
    <row r="80" spans="1:70" s="132" customFormat="1" ht="13.15" x14ac:dyDescent="0.4">
      <c r="A80" s="92"/>
      <c r="B80" s="93">
        <v>76</v>
      </c>
      <c r="C80" s="116" t="str">
        <f t="shared" si="32"/>
        <v/>
      </c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106">
        <v>17</v>
      </c>
      <c r="Q80" s="125">
        <f t="shared" si="37"/>
        <v>10.700000040000003</v>
      </c>
      <c r="R80" s="125">
        <f t="shared" si="38"/>
        <v>10.800000040000002</v>
      </c>
      <c r="S80" s="125">
        <f t="shared" si="39"/>
        <v>10.750000040000003</v>
      </c>
      <c r="T80" s="126">
        <f t="shared" si="33"/>
        <v>0.1</v>
      </c>
      <c r="U80" s="127">
        <f t="shared" si="34"/>
        <v>26</v>
      </c>
      <c r="V80" s="128">
        <f t="shared" si="35"/>
        <v>1</v>
      </c>
      <c r="W80" s="127">
        <f t="shared" si="40"/>
        <v>0</v>
      </c>
      <c r="X80" s="128">
        <f t="shared" si="36"/>
        <v>0</v>
      </c>
      <c r="Y80" s="129">
        <f t="shared" si="41"/>
        <v>0</v>
      </c>
      <c r="Z80" s="92"/>
      <c r="AA80" s="92"/>
      <c r="AB80" s="92"/>
      <c r="AC80" s="92"/>
      <c r="AD80" s="119">
        <v>76</v>
      </c>
      <c r="AE80" s="106">
        <f t="shared" si="42"/>
        <v>26</v>
      </c>
      <c r="AF80" s="130">
        <f t="shared" si="55"/>
        <v>10.33</v>
      </c>
      <c r="AG80" s="95">
        <f t="shared" si="43"/>
        <v>12</v>
      </c>
      <c r="AH80" s="95">
        <f t="shared" si="44"/>
        <v>10</v>
      </c>
      <c r="AI80" s="131">
        <f t="shared" si="53"/>
        <v>10.378785896192221</v>
      </c>
      <c r="AJ80" s="131">
        <f t="shared" si="53"/>
        <v>10.631214103807773</v>
      </c>
      <c r="AK80" s="131">
        <f t="shared" si="53"/>
        <v>10.252571792384446</v>
      </c>
      <c r="AL80" s="131">
        <f t="shared" si="53"/>
        <v>10.757428207615549</v>
      </c>
      <c r="AM80" s="131">
        <f t="shared" si="53"/>
        <v>10.12635768857667</v>
      </c>
      <c r="AN80" s="131">
        <f t="shared" si="53"/>
        <v>10.883642311423325</v>
      </c>
      <c r="AO80" s="131">
        <f t="shared" si="53"/>
        <v>10.504999999999997</v>
      </c>
      <c r="AP80" s="130"/>
      <c r="AQ80" s="95">
        <f t="shared" si="45"/>
        <v>0</v>
      </c>
      <c r="AR80" s="95">
        <f t="shared" si="46"/>
        <v>0</v>
      </c>
      <c r="BC80" s="94">
        <v>76</v>
      </c>
      <c r="BD80" s="108" t="e">
        <f t="shared" si="47"/>
        <v>#N/A</v>
      </c>
      <c r="BE80" s="94" t="str">
        <f t="shared" si="54"/>
        <v/>
      </c>
      <c r="BF80" s="109" t="str">
        <f t="shared" si="48"/>
        <v/>
      </c>
      <c r="BG80" s="109" t="str">
        <f t="shared" si="49"/>
        <v/>
      </c>
      <c r="BH80" s="109" t="str">
        <f t="shared" si="50"/>
        <v/>
      </c>
      <c r="BI80" s="109" t="str">
        <f t="shared" si="51"/>
        <v/>
      </c>
      <c r="BJ80" s="109" t="e">
        <f t="shared" si="52"/>
        <v>#N/A</v>
      </c>
      <c r="BK80" s="96"/>
      <c r="BL80" s="96"/>
      <c r="BM80" s="96"/>
      <c r="BN80" s="96"/>
      <c r="BO80" s="96"/>
      <c r="BP80" s="96"/>
      <c r="BQ80" s="96"/>
      <c r="BR80" s="96"/>
    </row>
    <row r="81" spans="1:70" s="132" customFormat="1" ht="13.15" x14ac:dyDescent="0.4">
      <c r="A81" s="92"/>
      <c r="B81" s="88">
        <v>77</v>
      </c>
      <c r="C81" s="116" t="str">
        <f t="shared" si="32"/>
        <v/>
      </c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106">
        <v>18</v>
      </c>
      <c r="Q81" s="125">
        <f t="shared" si="37"/>
        <v>10.700000040000003</v>
      </c>
      <c r="R81" s="125">
        <f t="shared" si="38"/>
        <v>10.800000040000002</v>
      </c>
      <c r="S81" s="125">
        <f t="shared" si="39"/>
        <v>10.750000040000003</v>
      </c>
      <c r="T81" s="126">
        <f t="shared" si="33"/>
        <v>0.1</v>
      </c>
      <c r="U81" s="127">
        <f t="shared" si="34"/>
        <v>26</v>
      </c>
      <c r="V81" s="128">
        <f t="shared" si="35"/>
        <v>1</v>
      </c>
      <c r="W81" s="127">
        <f t="shared" si="40"/>
        <v>0</v>
      </c>
      <c r="X81" s="128">
        <f t="shared" si="36"/>
        <v>0</v>
      </c>
      <c r="Y81" s="129">
        <f t="shared" si="41"/>
        <v>0</v>
      </c>
      <c r="Z81" s="92"/>
      <c r="AA81" s="92"/>
      <c r="AB81" s="92"/>
      <c r="AC81" s="92"/>
      <c r="AD81" s="119">
        <v>77</v>
      </c>
      <c r="AE81" s="106">
        <f t="shared" si="42"/>
        <v>26</v>
      </c>
      <c r="AF81" s="130">
        <f t="shared" si="55"/>
        <v>10.33</v>
      </c>
      <c r="AG81" s="95">
        <f t="shared" si="43"/>
        <v>12</v>
      </c>
      <c r="AH81" s="95">
        <f t="shared" si="44"/>
        <v>10</v>
      </c>
      <c r="AI81" s="131">
        <f t="shared" si="53"/>
        <v>10.378785896192221</v>
      </c>
      <c r="AJ81" s="131">
        <f t="shared" si="53"/>
        <v>10.631214103807773</v>
      </c>
      <c r="AK81" s="131">
        <f t="shared" si="53"/>
        <v>10.252571792384446</v>
      </c>
      <c r="AL81" s="131">
        <f t="shared" si="53"/>
        <v>10.757428207615549</v>
      </c>
      <c r="AM81" s="131">
        <f t="shared" si="53"/>
        <v>10.12635768857667</v>
      </c>
      <c r="AN81" s="131">
        <f t="shared" si="53"/>
        <v>10.883642311423325</v>
      </c>
      <c r="AO81" s="131">
        <f t="shared" si="53"/>
        <v>10.504999999999997</v>
      </c>
      <c r="AP81" s="130"/>
      <c r="AQ81" s="95">
        <f t="shared" si="45"/>
        <v>0</v>
      </c>
      <c r="AR81" s="95">
        <f t="shared" si="46"/>
        <v>0</v>
      </c>
      <c r="BC81" s="94">
        <v>77</v>
      </c>
      <c r="BD81" s="108" t="e">
        <f t="shared" si="47"/>
        <v>#N/A</v>
      </c>
      <c r="BE81" s="94" t="str">
        <f t="shared" si="54"/>
        <v/>
      </c>
      <c r="BF81" s="109" t="str">
        <f t="shared" si="48"/>
        <v/>
      </c>
      <c r="BG81" s="109" t="str">
        <f t="shared" si="49"/>
        <v/>
      </c>
      <c r="BH81" s="109" t="str">
        <f t="shared" si="50"/>
        <v/>
      </c>
      <c r="BI81" s="109" t="str">
        <f t="shared" si="51"/>
        <v/>
      </c>
      <c r="BJ81" s="109" t="e">
        <f t="shared" si="52"/>
        <v>#N/A</v>
      </c>
      <c r="BK81" s="96"/>
      <c r="BL81" s="96"/>
      <c r="BM81" s="96"/>
      <c r="BN81" s="96"/>
      <c r="BO81" s="96"/>
      <c r="BP81" s="96"/>
      <c r="BQ81" s="96"/>
      <c r="BR81" s="96"/>
    </row>
    <row r="82" spans="1:70" s="132" customFormat="1" ht="13.15" x14ac:dyDescent="0.4">
      <c r="A82" s="92"/>
      <c r="B82" s="93">
        <v>78</v>
      </c>
      <c r="C82" s="116" t="str">
        <f t="shared" si="32"/>
        <v/>
      </c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106">
        <v>19</v>
      </c>
      <c r="Q82" s="125">
        <f t="shared" si="37"/>
        <v>10.700000040000003</v>
      </c>
      <c r="R82" s="125">
        <f t="shared" si="38"/>
        <v>10.800000040000002</v>
      </c>
      <c r="S82" s="125">
        <f t="shared" si="39"/>
        <v>10.750000040000003</v>
      </c>
      <c r="T82" s="126">
        <f t="shared" si="33"/>
        <v>0.1</v>
      </c>
      <c r="U82" s="127">
        <f t="shared" si="34"/>
        <v>26</v>
      </c>
      <c r="V82" s="128">
        <f t="shared" si="35"/>
        <v>1</v>
      </c>
      <c r="W82" s="127">
        <f t="shared" si="40"/>
        <v>0</v>
      </c>
      <c r="X82" s="128">
        <f t="shared" si="36"/>
        <v>0</v>
      </c>
      <c r="Y82" s="129">
        <f t="shared" si="41"/>
        <v>0</v>
      </c>
      <c r="Z82" s="92"/>
      <c r="AA82" s="92"/>
      <c r="AB82" s="92"/>
      <c r="AC82" s="92"/>
      <c r="AD82" s="119">
        <v>78</v>
      </c>
      <c r="AE82" s="106">
        <f t="shared" si="42"/>
        <v>26</v>
      </c>
      <c r="AF82" s="130">
        <f t="shared" si="55"/>
        <v>10.33</v>
      </c>
      <c r="AG82" s="95">
        <f t="shared" si="43"/>
        <v>12</v>
      </c>
      <c r="AH82" s="95">
        <f t="shared" si="44"/>
        <v>10</v>
      </c>
      <c r="AI82" s="131">
        <f t="shared" si="53"/>
        <v>10.378785896192221</v>
      </c>
      <c r="AJ82" s="131">
        <f t="shared" si="53"/>
        <v>10.631214103807773</v>
      </c>
      <c r="AK82" s="131">
        <f t="shared" si="53"/>
        <v>10.252571792384446</v>
      </c>
      <c r="AL82" s="131">
        <f t="shared" si="53"/>
        <v>10.757428207615549</v>
      </c>
      <c r="AM82" s="131">
        <f t="shared" si="53"/>
        <v>10.12635768857667</v>
      </c>
      <c r="AN82" s="131">
        <f t="shared" si="53"/>
        <v>10.883642311423325</v>
      </c>
      <c r="AO82" s="131">
        <f t="shared" si="53"/>
        <v>10.504999999999997</v>
      </c>
      <c r="AP82" s="130"/>
      <c r="AQ82" s="95">
        <f t="shared" si="45"/>
        <v>0</v>
      </c>
      <c r="AR82" s="95">
        <f t="shared" si="46"/>
        <v>0</v>
      </c>
      <c r="BC82" s="94">
        <v>78</v>
      </c>
      <c r="BD82" s="108" t="e">
        <f t="shared" si="47"/>
        <v>#N/A</v>
      </c>
      <c r="BE82" s="94" t="str">
        <f t="shared" si="54"/>
        <v/>
      </c>
      <c r="BF82" s="109" t="str">
        <f t="shared" si="48"/>
        <v/>
      </c>
      <c r="BG82" s="109" t="str">
        <f t="shared" si="49"/>
        <v/>
      </c>
      <c r="BH82" s="109" t="str">
        <f t="shared" si="50"/>
        <v/>
      </c>
      <c r="BI82" s="109" t="str">
        <f t="shared" si="51"/>
        <v/>
      </c>
      <c r="BJ82" s="109" t="e">
        <f t="shared" si="52"/>
        <v>#N/A</v>
      </c>
      <c r="BK82" s="96"/>
      <c r="BL82" s="96"/>
      <c r="BM82" s="96"/>
      <c r="BN82" s="96"/>
      <c r="BO82" s="96"/>
      <c r="BP82" s="96"/>
      <c r="BQ82" s="96"/>
      <c r="BR82" s="96"/>
    </row>
    <row r="83" spans="1:70" s="132" customFormat="1" ht="13.15" x14ac:dyDescent="0.4">
      <c r="A83" s="92"/>
      <c r="B83" s="88">
        <v>79</v>
      </c>
      <c r="C83" s="116" t="str">
        <f t="shared" si="32"/>
        <v/>
      </c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106">
        <v>20</v>
      </c>
      <c r="Q83" s="125">
        <f t="shared" si="37"/>
        <v>10.700000040000003</v>
      </c>
      <c r="R83" s="125">
        <f t="shared" si="38"/>
        <v>10.800000040000002</v>
      </c>
      <c r="S83" s="125">
        <f t="shared" si="39"/>
        <v>10.750000040000003</v>
      </c>
      <c r="T83" s="126">
        <f t="shared" si="33"/>
        <v>0.1</v>
      </c>
      <c r="U83" s="127">
        <f t="shared" si="34"/>
        <v>26</v>
      </c>
      <c r="V83" s="128">
        <f t="shared" si="35"/>
        <v>1</v>
      </c>
      <c r="W83" s="127">
        <f t="shared" si="40"/>
        <v>0</v>
      </c>
      <c r="X83" s="128">
        <f t="shared" si="36"/>
        <v>0</v>
      </c>
      <c r="Y83" s="129">
        <f t="shared" si="41"/>
        <v>0</v>
      </c>
      <c r="Z83" s="92"/>
      <c r="AA83" s="92"/>
      <c r="AB83" s="92"/>
      <c r="AC83" s="92"/>
      <c r="AD83" s="119">
        <v>79</v>
      </c>
      <c r="AE83" s="106">
        <f t="shared" si="42"/>
        <v>26</v>
      </c>
      <c r="AF83" s="130">
        <f t="shared" si="55"/>
        <v>10.33</v>
      </c>
      <c r="AG83" s="95">
        <f t="shared" si="43"/>
        <v>12</v>
      </c>
      <c r="AH83" s="95">
        <f t="shared" si="44"/>
        <v>10</v>
      </c>
      <c r="AI83" s="131">
        <f t="shared" si="53"/>
        <v>10.378785896192221</v>
      </c>
      <c r="AJ83" s="131">
        <f t="shared" si="53"/>
        <v>10.631214103807773</v>
      </c>
      <c r="AK83" s="131">
        <f t="shared" si="53"/>
        <v>10.252571792384446</v>
      </c>
      <c r="AL83" s="131">
        <f t="shared" si="53"/>
        <v>10.757428207615549</v>
      </c>
      <c r="AM83" s="131">
        <f t="shared" si="53"/>
        <v>10.12635768857667</v>
      </c>
      <c r="AN83" s="131">
        <f t="shared" si="53"/>
        <v>10.883642311423325</v>
      </c>
      <c r="AO83" s="131">
        <f t="shared" si="53"/>
        <v>10.504999999999997</v>
      </c>
      <c r="AP83" s="130"/>
      <c r="AQ83" s="95">
        <f t="shared" si="45"/>
        <v>0</v>
      </c>
      <c r="AR83" s="95">
        <f t="shared" si="46"/>
        <v>0</v>
      </c>
      <c r="BC83" s="94">
        <v>79</v>
      </c>
      <c r="BD83" s="108" t="e">
        <f t="shared" si="47"/>
        <v>#N/A</v>
      </c>
      <c r="BE83" s="94" t="str">
        <f t="shared" si="54"/>
        <v/>
      </c>
      <c r="BF83" s="109" t="str">
        <f t="shared" si="48"/>
        <v/>
      </c>
      <c r="BG83" s="109" t="str">
        <f t="shared" si="49"/>
        <v/>
      </c>
      <c r="BH83" s="109" t="str">
        <f t="shared" si="50"/>
        <v/>
      </c>
      <c r="BI83" s="109" t="str">
        <f t="shared" si="51"/>
        <v/>
      </c>
      <c r="BJ83" s="109" t="e">
        <f t="shared" si="52"/>
        <v>#N/A</v>
      </c>
      <c r="BK83" s="96"/>
      <c r="BL83" s="96"/>
      <c r="BM83" s="96"/>
      <c r="BN83" s="96"/>
      <c r="BO83" s="96"/>
      <c r="BP83" s="96"/>
      <c r="BQ83" s="96"/>
      <c r="BR83" s="96"/>
    </row>
    <row r="84" spans="1:70" s="132" customFormat="1" ht="13.15" x14ac:dyDescent="0.4">
      <c r="A84" s="92"/>
      <c r="B84" s="93">
        <v>80</v>
      </c>
      <c r="C84" s="116" t="str">
        <f t="shared" si="32"/>
        <v/>
      </c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Z84" s="92"/>
      <c r="AA84" s="92"/>
      <c r="AB84" s="92"/>
      <c r="AC84" s="92"/>
      <c r="AD84" s="119">
        <v>80</v>
      </c>
      <c r="AE84" s="106">
        <f t="shared" si="42"/>
        <v>26</v>
      </c>
      <c r="AF84" s="130">
        <f t="shared" si="55"/>
        <v>10.33</v>
      </c>
      <c r="AG84" s="95">
        <f t="shared" si="43"/>
        <v>12</v>
      </c>
      <c r="AH84" s="95">
        <f t="shared" si="44"/>
        <v>10</v>
      </c>
      <c r="AI84" s="131">
        <f t="shared" si="53"/>
        <v>10.378785896192221</v>
      </c>
      <c r="AJ84" s="131">
        <f t="shared" si="53"/>
        <v>10.631214103807773</v>
      </c>
      <c r="AK84" s="131">
        <f t="shared" si="53"/>
        <v>10.252571792384446</v>
      </c>
      <c r="AL84" s="131">
        <f t="shared" si="53"/>
        <v>10.757428207615549</v>
      </c>
      <c r="AM84" s="131">
        <f t="shared" si="53"/>
        <v>10.12635768857667</v>
      </c>
      <c r="AN84" s="131">
        <f t="shared" si="53"/>
        <v>10.883642311423325</v>
      </c>
      <c r="AO84" s="131">
        <f t="shared" si="53"/>
        <v>10.504999999999997</v>
      </c>
      <c r="AP84" s="130"/>
      <c r="AQ84" s="95">
        <f t="shared" si="45"/>
        <v>0</v>
      </c>
      <c r="AR84" s="95">
        <f t="shared" si="46"/>
        <v>0</v>
      </c>
      <c r="BC84" s="94">
        <v>80</v>
      </c>
      <c r="BD84" s="108" t="e">
        <f t="shared" si="47"/>
        <v>#N/A</v>
      </c>
      <c r="BE84" s="94" t="str">
        <f t="shared" si="54"/>
        <v/>
      </c>
      <c r="BF84" s="109" t="str">
        <f t="shared" si="48"/>
        <v/>
      </c>
      <c r="BG84" s="109" t="str">
        <f t="shared" si="49"/>
        <v/>
      </c>
      <c r="BH84" s="109" t="str">
        <f t="shared" si="50"/>
        <v/>
      </c>
      <c r="BI84" s="109" t="str">
        <f t="shared" si="51"/>
        <v/>
      </c>
      <c r="BJ84" s="109" t="e">
        <f t="shared" si="52"/>
        <v>#N/A</v>
      </c>
      <c r="BK84" s="96"/>
      <c r="BL84" s="96"/>
      <c r="BM84" s="96"/>
      <c r="BN84" s="96"/>
      <c r="BO84" s="96"/>
      <c r="BP84" s="96"/>
      <c r="BQ84" s="96"/>
      <c r="BR84" s="96"/>
    </row>
    <row r="85" spans="1:70" s="132" customFormat="1" ht="13.15" x14ac:dyDescent="0.4">
      <c r="A85" s="92"/>
      <c r="B85" s="88">
        <v>81</v>
      </c>
      <c r="C85" s="116" t="str">
        <f t="shared" si="32"/>
        <v/>
      </c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Z85" s="92"/>
      <c r="AA85" s="92"/>
      <c r="AB85" s="92"/>
      <c r="AC85" s="92"/>
      <c r="AD85" s="119">
        <v>81</v>
      </c>
      <c r="AE85" s="106">
        <f t="shared" si="42"/>
        <v>26</v>
      </c>
      <c r="AF85" s="130">
        <f t="shared" si="55"/>
        <v>10.33</v>
      </c>
      <c r="AG85" s="95">
        <f t="shared" si="43"/>
        <v>12</v>
      </c>
      <c r="AH85" s="95">
        <f t="shared" si="44"/>
        <v>10</v>
      </c>
      <c r="AI85" s="131">
        <f t="shared" si="53"/>
        <v>10.378785896192221</v>
      </c>
      <c r="AJ85" s="131">
        <f t="shared" si="53"/>
        <v>10.631214103807773</v>
      </c>
      <c r="AK85" s="131">
        <f t="shared" si="53"/>
        <v>10.252571792384446</v>
      </c>
      <c r="AL85" s="131">
        <f t="shared" si="53"/>
        <v>10.757428207615549</v>
      </c>
      <c r="AM85" s="131">
        <f t="shared" si="53"/>
        <v>10.12635768857667</v>
      </c>
      <c r="AN85" s="131">
        <f t="shared" si="53"/>
        <v>10.883642311423325</v>
      </c>
      <c r="AO85" s="131">
        <f t="shared" si="53"/>
        <v>10.504999999999997</v>
      </c>
      <c r="AP85" s="130"/>
      <c r="AQ85" s="95">
        <f t="shared" si="45"/>
        <v>0</v>
      </c>
      <c r="AR85" s="95">
        <f t="shared" si="46"/>
        <v>0</v>
      </c>
      <c r="BC85" s="94">
        <v>81</v>
      </c>
      <c r="BD85" s="108" t="e">
        <f t="shared" si="47"/>
        <v>#N/A</v>
      </c>
      <c r="BE85" s="94" t="str">
        <f t="shared" si="54"/>
        <v/>
      </c>
      <c r="BF85" s="109" t="str">
        <f t="shared" si="48"/>
        <v/>
      </c>
      <c r="BG85" s="109" t="str">
        <f t="shared" si="49"/>
        <v/>
      </c>
      <c r="BH85" s="109" t="str">
        <f t="shared" si="50"/>
        <v/>
      </c>
      <c r="BI85" s="109" t="str">
        <f t="shared" si="51"/>
        <v/>
      </c>
      <c r="BJ85" s="109" t="e">
        <f t="shared" si="52"/>
        <v>#N/A</v>
      </c>
      <c r="BK85" s="96"/>
      <c r="BL85" s="96"/>
      <c r="BM85" s="96"/>
      <c r="BN85" s="96"/>
      <c r="BO85" s="96"/>
      <c r="BP85" s="96"/>
      <c r="BQ85" s="96"/>
      <c r="BR85" s="96"/>
    </row>
    <row r="86" spans="1:70" s="132" customFormat="1" ht="13.15" x14ac:dyDescent="0.4">
      <c r="A86" s="92"/>
      <c r="B86" s="93">
        <v>82</v>
      </c>
      <c r="C86" s="116" t="str">
        <f t="shared" si="32"/>
        <v/>
      </c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205" t="s">
        <v>42</v>
      </c>
      <c r="Q86" s="206"/>
      <c r="R86" s="206"/>
      <c r="S86" s="206"/>
      <c r="T86" s="206"/>
      <c r="U86" s="206"/>
      <c r="V86" s="206"/>
      <c r="W86" s="206"/>
      <c r="X86" s="206"/>
      <c r="Y86" s="207"/>
      <c r="Z86" s="92"/>
      <c r="AA86" s="92"/>
      <c r="AB86" s="92"/>
      <c r="AC86" s="92"/>
      <c r="AD86" s="119">
        <v>82</v>
      </c>
      <c r="AE86" s="106">
        <f t="shared" si="42"/>
        <v>26</v>
      </c>
      <c r="AF86" s="130">
        <f t="shared" si="55"/>
        <v>10.33</v>
      </c>
      <c r="AG86" s="95">
        <f t="shared" si="43"/>
        <v>12</v>
      </c>
      <c r="AH86" s="95">
        <f t="shared" si="44"/>
        <v>10</v>
      </c>
      <c r="AI86" s="131">
        <f t="shared" ref="AI86:AO101" si="56">AI85</f>
        <v>10.378785896192221</v>
      </c>
      <c r="AJ86" s="131">
        <f t="shared" si="56"/>
        <v>10.631214103807773</v>
      </c>
      <c r="AK86" s="131">
        <f t="shared" si="56"/>
        <v>10.252571792384446</v>
      </c>
      <c r="AL86" s="131">
        <f t="shared" si="56"/>
        <v>10.757428207615549</v>
      </c>
      <c r="AM86" s="131">
        <f t="shared" si="56"/>
        <v>10.12635768857667</v>
      </c>
      <c r="AN86" s="131">
        <f t="shared" si="56"/>
        <v>10.883642311423325</v>
      </c>
      <c r="AO86" s="131">
        <f t="shared" si="56"/>
        <v>10.504999999999997</v>
      </c>
      <c r="AP86" s="130"/>
      <c r="AQ86" s="95">
        <f t="shared" si="45"/>
        <v>0</v>
      </c>
      <c r="AR86" s="95">
        <f t="shared" si="46"/>
        <v>0</v>
      </c>
      <c r="BC86" s="94">
        <v>82</v>
      </c>
      <c r="BD86" s="108" t="e">
        <f t="shared" si="47"/>
        <v>#N/A</v>
      </c>
      <c r="BE86" s="94" t="str">
        <f t="shared" si="54"/>
        <v/>
      </c>
      <c r="BF86" s="109" t="str">
        <f t="shared" si="48"/>
        <v/>
      </c>
      <c r="BG86" s="109" t="str">
        <f t="shared" si="49"/>
        <v/>
      </c>
      <c r="BH86" s="109" t="str">
        <f t="shared" si="50"/>
        <v/>
      </c>
      <c r="BI86" s="109" t="str">
        <f t="shared" si="51"/>
        <v/>
      </c>
      <c r="BJ86" s="109" t="e">
        <f t="shared" si="52"/>
        <v>#N/A</v>
      </c>
      <c r="BK86" s="96"/>
      <c r="BL86" s="96"/>
      <c r="BM86" s="96"/>
      <c r="BN86" s="96"/>
      <c r="BO86" s="96"/>
      <c r="BP86" s="96"/>
      <c r="BQ86" s="96"/>
      <c r="BR86" s="96"/>
    </row>
    <row r="87" spans="1:70" s="132" customFormat="1" ht="13.15" x14ac:dyDescent="0.4">
      <c r="A87" s="92"/>
      <c r="B87" s="88">
        <v>83</v>
      </c>
      <c r="C87" s="116" t="str">
        <f t="shared" si="32"/>
        <v/>
      </c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119">
        <v>1.1000000000000001</v>
      </c>
      <c r="R87" s="120">
        <f t="shared" ref="R87:R97" si="57">R88-(Q87*Standardabweichung)</f>
        <v>9.6719869148686772</v>
      </c>
      <c r="S87" s="117">
        <f t="shared" ref="S87:S109" si="58">NORMDIST(R87,Mittelwert,Standardabweichung,0)</f>
        <v>1.0986727729550035E-9</v>
      </c>
      <c r="T87" s="92"/>
      <c r="U87" s="133" t="str">
        <f>IF('Eingabe und Diagramm'!AB2=1,"OGW","USL")</f>
        <v>USL</v>
      </c>
      <c r="V87" s="134">
        <f>OGW</f>
        <v>12</v>
      </c>
      <c r="W87" s="135">
        <f t="shared" ref="W87:W92" si="59">MAX(Häufigkeitsdichte)*1.05</f>
        <v>3.6346153846153846</v>
      </c>
      <c r="X87" s="92"/>
      <c r="Y87" s="136"/>
      <c r="Z87" s="92"/>
      <c r="AA87" s="92"/>
      <c r="AB87" s="92"/>
      <c r="AC87" s="92"/>
      <c r="AD87" s="119">
        <v>83</v>
      </c>
      <c r="AE87" s="106">
        <f t="shared" si="42"/>
        <v>26</v>
      </c>
      <c r="AF87" s="130">
        <f t="shared" si="55"/>
        <v>10.33</v>
      </c>
      <c r="AG87" s="95">
        <f t="shared" si="43"/>
        <v>12</v>
      </c>
      <c r="AH87" s="95">
        <f t="shared" si="44"/>
        <v>10</v>
      </c>
      <c r="AI87" s="131">
        <f t="shared" si="56"/>
        <v>10.378785896192221</v>
      </c>
      <c r="AJ87" s="131">
        <f t="shared" si="56"/>
        <v>10.631214103807773</v>
      </c>
      <c r="AK87" s="131">
        <f t="shared" si="56"/>
        <v>10.252571792384446</v>
      </c>
      <c r="AL87" s="131">
        <f t="shared" si="56"/>
        <v>10.757428207615549</v>
      </c>
      <c r="AM87" s="131">
        <f t="shared" si="56"/>
        <v>10.12635768857667</v>
      </c>
      <c r="AN87" s="131">
        <f t="shared" si="56"/>
        <v>10.883642311423325</v>
      </c>
      <c r="AO87" s="131">
        <f t="shared" si="56"/>
        <v>10.504999999999997</v>
      </c>
      <c r="AP87" s="130"/>
      <c r="AQ87" s="95">
        <f t="shared" si="45"/>
        <v>0</v>
      </c>
      <c r="AR87" s="95">
        <f t="shared" si="46"/>
        <v>0</v>
      </c>
      <c r="BC87" s="94">
        <v>83</v>
      </c>
      <c r="BD87" s="108" t="e">
        <f t="shared" si="47"/>
        <v>#N/A</v>
      </c>
      <c r="BE87" s="94" t="str">
        <f t="shared" si="54"/>
        <v/>
      </c>
      <c r="BF87" s="109" t="str">
        <f t="shared" si="48"/>
        <v/>
      </c>
      <c r="BG87" s="109" t="str">
        <f t="shared" si="49"/>
        <v/>
      </c>
      <c r="BH87" s="109" t="str">
        <f t="shared" si="50"/>
        <v/>
      </c>
      <c r="BI87" s="109" t="str">
        <f t="shared" si="51"/>
        <v/>
      </c>
      <c r="BJ87" s="109" t="e">
        <f t="shared" si="52"/>
        <v>#N/A</v>
      </c>
      <c r="BK87" s="96"/>
      <c r="BL87" s="96"/>
      <c r="BM87" s="96"/>
      <c r="BN87" s="96"/>
      <c r="BO87" s="96"/>
      <c r="BP87" s="96"/>
      <c r="BQ87" s="96"/>
      <c r="BR87" s="96"/>
    </row>
    <row r="88" spans="1:70" s="132" customFormat="1" ht="13.15" x14ac:dyDescent="0.4">
      <c r="A88" s="92"/>
      <c r="B88" s="93">
        <v>84</v>
      </c>
      <c r="C88" s="116" t="str">
        <f t="shared" si="32"/>
        <v/>
      </c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119">
        <v>1</v>
      </c>
      <c r="R88" s="120">
        <f t="shared" si="57"/>
        <v>9.8108224290572306</v>
      </c>
      <c r="S88" s="117">
        <f t="shared" si="58"/>
        <v>8.5329291399517643E-7</v>
      </c>
      <c r="T88" s="92"/>
      <c r="U88" s="119" t="str">
        <f>IF('Eingabe und Diagramm'!AB2=1,"UGW","LSL")</f>
        <v>LSL</v>
      </c>
      <c r="V88" s="137">
        <f>UGW</f>
        <v>10</v>
      </c>
      <c r="W88" s="135">
        <f t="shared" si="59"/>
        <v>3.6346153846153846</v>
      </c>
      <c r="X88" s="92"/>
      <c r="Y88" s="136"/>
      <c r="Z88" s="92"/>
      <c r="AA88" s="92"/>
      <c r="AB88" s="92"/>
      <c r="AC88" s="92"/>
      <c r="AD88" s="119">
        <v>84</v>
      </c>
      <c r="AE88" s="106">
        <f t="shared" si="42"/>
        <v>26</v>
      </c>
      <c r="AF88" s="130">
        <f t="shared" si="55"/>
        <v>10.33</v>
      </c>
      <c r="AG88" s="95">
        <f t="shared" si="43"/>
        <v>12</v>
      </c>
      <c r="AH88" s="95">
        <f t="shared" si="44"/>
        <v>10</v>
      </c>
      <c r="AI88" s="131">
        <f t="shared" si="56"/>
        <v>10.378785896192221</v>
      </c>
      <c r="AJ88" s="131">
        <f t="shared" si="56"/>
        <v>10.631214103807773</v>
      </c>
      <c r="AK88" s="131">
        <f t="shared" si="56"/>
        <v>10.252571792384446</v>
      </c>
      <c r="AL88" s="131">
        <f t="shared" si="56"/>
        <v>10.757428207615549</v>
      </c>
      <c r="AM88" s="131">
        <f t="shared" si="56"/>
        <v>10.12635768857667</v>
      </c>
      <c r="AN88" s="131">
        <f t="shared" si="56"/>
        <v>10.883642311423325</v>
      </c>
      <c r="AO88" s="131">
        <f t="shared" si="56"/>
        <v>10.504999999999997</v>
      </c>
      <c r="AP88" s="130"/>
      <c r="AQ88" s="95">
        <f t="shared" si="45"/>
        <v>0</v>
      </c>
      <c r="AR88" s="95">
        <f t="shared" si="46"/>
        <v>0</v>
      </c>
      <c r="BC88" s="94">
        <v>84</v>
      </c>
      <c r="BD88" s="108" t="e">
        <f t="shared" si="47"/>
        <v>#N/A</v>
      </c>
      <c r="BE88" s="94" t="str">
        <f t="shared" si="54"/>
        <v/>
      </c>
      <c r="BF88" s="109" t="str">
        <f t="shared" si="48"/>
        <v/>
      </c>
      <c r="BG88" s="109" t="str">
        <f t="shared" si="49"/>
        <v/>
      </c>
      <c r="BH88" s="109" t="str">
        <f t="shared" si="50"/>
        <v/>
      </c>
      <c r="BI88" s="109" t="str">
        <f t="shared" si="51"/>
        <v/>
      </c>
      <c r="BJ88" s="109" t="e">
        <f t="shared" si="52"/>
        <v>#N/A</v>
      </c>
      <c r="BK88" s="96"/>
      <c r="BL88" s="96"/>
      <c r="BM88" s="96"/>
      <c r="BN88" s="96"/>
      <c r="BO88" s="96"/>
      <c r="BP88" s="96"/>
      <c r="BQ88" s="96"/>
      <c r="BR88" s="96"/>
    </row>
    <row r="89" spans="1:70" s="132" customFormat="1" ht="13.15" x14ac:dyDescent="0.4">
      <c r="A89" s="92"/>
      <c r="B89" s="88">
        <v>85</v>
      </c>
      <c r="C89" s="116" t="str">
        <f t="shared" si="32"/>
        <v/>
      </c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119">
        <v>0.9</v>
      </c>
      <c r="R89" s="120">
        <f t="shared" si="57"/>
        <v>9.9370365328650063</v>
      </c>
      <c r="S89" s="117">
        <f t="shared" si="58"/>
        <v>1.2663989700586982E-4</v>
      </c>
      <c r="T89" s="92"/>
      <c r="U89" s="119" t="str">
        <f>"+ 3 Sigma"</f>
        <v>+ 3 Sigma</v>
      </c>
      <c r="V89" s="137">
        <f>Mittelwert+3*Standardabweichung</f>
        <v>10.883642311423325</v>
      </c>
      <c r="W89" s="135">
        <f t="shared" si="59"/>
        <v>3.6346153846153846</v>
      </c>
      <c r="X89" s="92"/>
      <c r="Y89" s="136"/>
      <c r="Z89" s="92"/>
      <c r="AA89" s="92"/>
      <c r="AB89" s="92"/>
      <c r="AC89" s="92"/>
      <c r="AD89" s="119">
        <v>85</v>
      </c>
      <c r="AE89" s="106">
        <f t="shared" si="42"/>
        <v>26</v>
      </c>
      <c r="AF89" s="130">
        <f t="shared" si="55"/>
        <v>10.33</v>
      </c>
      <c r="AG89" s="95">
        <f t="shared" si="43"/>
        <v>12</v>
      </c>
      <c r="AH89" s="95">
        <f t="shared" si="44"/>
        <v>10</v>
      </c>
      <c r="AI89" s="131">
        <f t="shared" si="56"/>
        <v>10.378785896192221</v>
      </c>
      <c r="AJ89" s="131">
        <f t="shared" si="56"/>
        <v>10.631214103807773</v>
      </c>
      <c r="AK89" s="131">
        <f t="shared" si="56"/>
        <v>10.252571792384446</v>
      </c>
      <c r="AL89" s="131">
        <f t="shared" si="56"/>
        <v>10.757428207615549</v>
      </c>
      <c r="AM89" s="131">
        <f t="shared" si="56"/>
        <v>10.12635768857667</v>
      </c>
      <c r="AN89" s="131">
        <f t="shared" si="56"/>
        <v>10.883642311423325</v>
      </c>
      <c r="AO89" s="131">
        <f t="shared" si="56"/>
        <v>10.504999999999997</v>
      </c>
      <c r="AP89" s="130"/>
      <c r="AQ89" s="95">
        <f t="shared" si="45"/>
        <v>0</v>
      </c>
      <c r="AR89" s="95">
        <f t="shared" si="46"/>
        <v>0</v>
      </c>
      <c r="BC89" s="94">
        <v>85</v>
      </c>
      <c r="BD89" s="108" t="e">
        <f t="shared" si="47"/>
        <v>#N/A</v>
      </c>
      <c r="BE89" s="94" t="str">
        <f t="shared" si="54"/>
        <v/>
      </c>
      <c r="BF89" s="109" t="str">
        <f t="shared" si="48"/>
        <v/>
      </c>
      <c r="BG89" s="109" t="str">
        <f t="shared" si="49"/>
        <v/>
      </c>
      <c r="BH89" s="109" t="str">
        <f t="shared" si="50"/>
        <v/>
      </c>
      <c r="BI89" s="109" t="str">
        <f t="shared" si="51"/>
        <v/>
      </c>
      <c r="BJ89" s="109" t="e">
        <f t="shared" si="52"/>
        <v>#N/A</v>
      </c>
      <c r="BK89" s="96"/>
      <c r="BL89" s="96"/>
      <c r="BM89" s="96"/>
      <c r="BN89" s="96"/>
      <c r="BO89" s="96"/>
      <c r="BP89" s="96"/>
      <c r="BQ89" s="96"/>
      <c r="BR89" s="96"/>
    </row>
    <row r="90" spans="1:70" s="132" customFormat="1" ht="13.15" x14ac:dyDescent="0.4">
      <c r="A90" s="92"/>
      <c r="B90" s="93">
        <v>86</v>
      </c>
      <c r="C90" s="116" t="str">
        <f t="shared" si="32"/>
        <v/>
      </c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119">
        <v>0.8</v>
      </c>
      <c r="R90" s="120">
        <f t="shared" si="57"/>
        <v>10.050629226292005</v>
      </c>
      <c r="S90" s="117">
        <f t="shared" si="58"/>
        <v>4.8481264110204732E-3</v>
      </c>
      <c r="T90" s="92"/>
      <c r="U90" s="119" t="str">
        <f>"- 3 Sigma"</f>
        <v>- 3 Sigma</v>
      </c>
      <c r="V90" s="137">
        <f>Mittelwert-3*Standardabweichung</f>
        <v>10.12635768857667</v>
      </c>
      <c r="W90" s="135">
        <f t="shared" si="59"/>
        <v>3.6346153846153846</v>
      </c>
      <c r="X90" s="92"/>
      <c r="Y90" s="136"/>
      <c r="Z90" s="92"/>
      <c r="AA90" s="92"/>
      <c r="AB90" s="92"/>
      <c r="AC90" s="92"/>
      <c r="AD90" s="119">
        <v>86</v>
      </c>
      <c r="AE90" s="106">
        <f t="shared" si="42"/>
        <v>26</v>
      </c>
      <c r="AF90" s="130">
        <f t="shared" si="55"/>
        <v>10.33</v>
      </c>
      <c r="AG90" s="95">
        <f t="shared" si="43"/>
        <v>12</v>
      </c>
      <c r="AH90" s="95">
        <f t="shared" si="44"/>
        <v>10</v>
      </c>
      <c r="AI90" s="131">
        <f t="shared" si="56"/>
        <v>10.378785896192221</v>
      </c>
      <c r="AJ90" s="131">
        <f t="shared" si="56"/>
        <v>10.631214103807773</v>
      </c>
      <c r="AK90" s="131">
        <f t="shared" si="56"/>
        <v>10.252571792384446</v>
      </c>
      <c r="AL90" s="131">
        <f t="shared" si="56"/>
        <v>10.757428207615549</v>
      </c>
      <c r="AM90" s="131">
        <f t="shared" si="56"/>
        <v>10.12635768857667</v>
      </c>
      <c r="AN90" s="131">
        <f t="shared" si="56"/>
        <v>10.883642311423325</v>
      </c>
      <c r="AO90" s="131">
        <f t="shared" si="56"/>
        <v>10.504999999999997</v>
      </c>
      <c r="AP90" s="130"/>
      <c r="AQ90" s="95">
        <f t="shared" si="45"/>
        <v>0</v>
      </c>
      <c r="AR90" s="95">
        <f t="shared" si="46"/>
        <v>0</v>
      </c>
      <c r="BC90" s="94">
        <v>86</v>
      </c>
      <c r="BD90" s="108" t="e">
        <f t="shared" si="47"/>
        <v>#N/A</v>
      </c>
      <c r="BE90" s="94" t="str">
        <f t="shared" si="54"/>
        <v/>
      </c>
      <c r="BF90" s="109" t="str">
        <f t="shared" si="48"/>
        <v/>
      </c>
      <c r="BG90" s="109" t="str">
        <f t="shared" si="49"/>
        <v/>
      </c>
      <c r="BH90" s="109" t="str">
        <f t="shared" si="50"/>
        <v/>
      </c>
      <c r="BI90" s="109" t="str">
        <f t="shared" si="51"/>
        <v/>
      </c>
      <c r="BJ90" s="109" t="e">
        <f t="shared" si="52"/>
        <v>#N/A</v>
      </c>
      <c r="BK90" s="96"/>
      <c r="BL90" s="96"/>
      <c r="BM90" s="96"/>
      <c r="BN90" s="96"/>
      <c r="BO90" s="96"/>
      <c r="BP90" s="96"/>
      <c r="BQ90" s="96"/>
      <c r="BR90" s="96"/>
    </row>
    <row r="91" spans="1:70" s="132" customFormat="1" ht="13.15" x14ac:dyDescent="0.4">
      <c r="A91" s="92"/>
      <c r="B91" s="88">
        <v>87</v>
      </c>
      <c r="C91" s="116" t="str">
        <f t="shared" si="32"/>
        <v/>
      </c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119">
        <v>0.7</v>
      </c>
      <c r="R91" s="120">
        <f t="shared" si="57"/>
        <v>10.151600509338225</v>
      </c>
      <c r="S91" s="117">
        <f t="shared" si="58"/>
        <v>6.2714477575621028E-2</v>
      </c>
      <c r="T91" s="92"/>
      <c r="U91" s="119" t="str">
        <f>O13</f>
        <v>mid µ</v>
      </c>
      <c r="V91" s="137">
        <f>Mittelwert</f>
        <v>10.504999999999997</v>
      </c>
      <c r="W91" s="135">
        <f t="shared" si="59"/>
        <v>3.6346153846153846</v>
      </c>
      <c r="X91" s="92"/>
      <c r="Y91" s="136"/>
      <c r="Z91" s="92"/>
      <c r="AA91" s="92"/>
      <c r="AB91" s="92"/>
      <c r="AC91" s="92"/>
      <c r="AD91" s="119">
        <v>87</v>
      </c>
      <c r="AE91" s="106">
        <f t="shared" si="42"/>
        <v>26</v>
      </c>
      <c r="AF91" s="130">
        <f t="shared" si="55"/>
        <v>10.33</v>
      </c>
      <c r="AG91" s="95">
        <f t="shared" si="43"/>
        <v>12</v>
      </c>
      <c r="AH91" s="95">
        <f t="shared" si="44"/>
        <v>10</v>
      </c>
      <c r="AI91" s="131">
        <f t="shared" si="56"/>
        <v>10.378785896192221</v>
      </c>
      <c r="AJ91" s="131">
        <f t="shared" si="56"/>
        <v>10.631214103807773</v>
      </c>
      <c r="AK91" s="131">
        <f t="shared" si="56"/>
        <v>10.252571792384446</v>
      </c>
      <c r="AL91" s="131">
        <f t="shared" si="56"/>
        <v>10.757428207615549</v>
      </c>
      <c r="AM91" s="131">
        <f t="shared" si="56"/>
        <v>10.12635768857667</v>
      </c>
      <c r="AN91" s="131">
        <f t="shared" si="56"/>
        <v>10.883642311423325</v>
      </c>
      <c r="AO91" s="131">
        <f t="shared" si="56"/>
        <v>10.504999999999997</v>
      </c>
      <c r="AP91" s="130"/>
      <c r="AQ91" s="95">
        <f t="shared" si="45"/>
        <v>0</v>
      </c>
      <c r="AR91" s="95">
        <f t="shared" si="46"/>
        <v>0</v>
      </c>
      <c r="BC91" s="94">
        <v>87</v>
      </c>
      <c r="BD91" s="108" t="e">
        <f t="shared" si="47"/>
        <v>#N/A</v>
      </c>
      <c r="BE91" s="94" t="str">
        <f t="shared" si="54"/>
        <v/>
      </c>
      <c r="BF91" s="109" t="str">
        <f t="shared" si="48"/>
        <v/>
      </c>
      <c r="BG91" s="109" t="str">
        <f t="shared" si="49"/>
        <v/>
      </c>
      <c r="BH91" s="109" t="str">
        <f t="shared" si="50"/>
        <v/>
      </c>
      <c r="BI91" s="109" t="str">
        <f t="shared" si="51"/>
        <v/>
      </c>
      <c r="BJ91" s="109" t="e">
        <f t="shared" si="52"/>
        <v>#N/A</v>
      </c>
      <c r="BK91" s="96"/>
      <c r="BL91" s="96"/>
      <c r="BM91" s="96"/>
      <c r="BN91" s="96"/>
      <c r="BO91" s="96"/>
      <c r="BP91" s="96"/>
      <c r="BQ91" s="96"/>
      <c r="BR91" s="96"/>
    </row>
    <row r="92" spans="1:70" s="132" customFormat="1" ht="13.15" x14ac:dyDescent="0.4">
      <c r="A92" s="92"/>
      <c r="B92" s="93">
        <v>88</v>
      </c>
      <c r="C92" s="116" t="str">
        <f t="shared" si="32"/>
        <v/>
      </c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119">
        <v>0.6</v>
      </c>
      <c r="R92" s="120">
        <f t="shared" si="57"/>
        <v>10.239950382003668</v>
      </c>
      <c r="S92" s="117">
        <f t="shared" si="58"/>
        <v>0.34848400181499511</v>
      </c>
      <c r="T92" s="92"/>
      <c r="U92" s="119" t="str">
        <f>O8</f>
        <v>Nominal value =</v>
      </c>
      <c r="V92" s="137">
        <f>Sollwert</f>
        <v>11</v>
      </c>
      <c r="W92" s="135">
        <f t="shared" si="59"/>
        <v>3.6346153846153846</v>
      </c>
      <c r="X92" s="92"/>
      <c r="Y92" s="136"/>
      <c r="Z92" s="92"/>
      <c r="AA92" s="92"/>
      <c r="AB92" s="92"/>
      <c r="AC92" s="92"/>
      <c r="AD92" s="119">
        <v>88</v>
      </c>
      <c r="AE92" s="106">
        <f t="shared" si="42"/>
        <v>26</v>
      </c>
      <c r="AF92" s="130">
        <f t="shared" si="55"/>
        <v>10.33</v>
      </c>
      <c r="AG92" s="95">
        <f t="shared" si="43"/>
        <v>12</v>
      </c>
      <c r="AH92" s="95">
        <f t="shared" si="44"/>
        <v>10</v>
      </c>
      <c r="AI92" s="131">
        <f t="shared" si="56"/>
        <v>10.378785896192221</v>
      </c>
      <c r="AJ92" s="131">
        <f t="shared" si="56"/>
        <v>10.631214103807773</v>
      </c>
      <c r="AK92" s="131">
        <f t="shared" si="56"/>
        <v>10.252571792384446</v>
      </c>
      <c r="AL92" s="131">
        <f t="shared" si="56"/>
        <v>10.757428207615549</v>
      </c>
      <c r="AM92" s="131">
        <f t="shared" si="56"/>
        <v>10.12635768857667</v>
      </c>
      <c r="AN92" s="131">
        <f t="shared" si="56"/>
        <v>10.883642311423325</v>
      </c>
      <c r="AO92" s="131">
        <f t="shared" si="56"/>
        <v>10.504999999999997</v>
      </c>
      <c r="AP92" s="130"/>
      <c r="AQ92" s="95">
        <f t="shared" si="45"/>
        <v>0</v>
      </c>
      <c r="AR92" s="95">
        <f t="shared" si="46"/>
        <v>0</v>
      </c>
      <c r="BC92" s="94">
        <v>88</v>
      </c>
      <c r="BD92" s="108" t="e">
        <f t="shared" si="47"/>
        <v>#N/A</v>
      </c>
      <c r="BE92" s="94" t="str">
        <f t="shared" si="54"/>
        <v/>
      </c>
      <c r="BF92" s="109" t="str">
        <f t="shared" si="48"/>
        <v/>
      </c>
      <c r="BG92" s="109" t="str">
        <f t="shared" si="49"/>
        <v/>
      </c>
      <c r="BH92" s="109" t="str">
        <f t="shared" si="50"/>
        <v/>
      </c>
      <c r="BI92" s="109" t="str">
        <f t="shared" si="51"/>
        <v/>
      </c>
      <c r="BJ92" s="109" t="e">
        <f t="shared" si="52"/>
        <v>#N/A</v>
      </c>
      <c r="BK92" s="96"/>
      <c r="BL92" s="96"/>
      <c r="BM92" s="96"/>
      <c r="BN92" s="96"/>
      <c r="BO92" s="96"/>
      <c r="BP92" s="96"/>
      <c r="BQ92" s="96"/>
      <c r="BR92" s="96"/>
    </row>
    <row r="93" spans="1:70" s="132" customFormat="1" ht="13.15" x14ac:dyDescent="0.4">
      <c r="A93" s="92"/>
      <c r="B93" s="88">
        <v>89</v>
      </c>
      <c r="C93" s="116" t="str">
        <f t="shared" si="32"/>
        <v/>
      </c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119">
        <v>0.5</v>
      </c>
      <c r="R93" s="120">
        <f t="shared" si="57"/>
        <v>10.315678844288334</v>
      </c>
      <c r="S93" s="117">
        <f t="shared" si="58"/>
        <v>1.0261737140181011</v>
      </c>
      <c r="T93" s="92"/>
      <c r="U93" s="92"/>
      <c r="V93" s="92"/>
      <c r="W93" s="92"/>
      <c r="X93" s="92"/>
      <c r="Y93" s="136"/>
      <c r="Z93" s="92"/>
      <c r="AA93" s="92"/>
      <c r="AB93" s="92"/>
      <c r="AC93" s="92"/>
      <c r="AD93" s="119">
        <v>89</v>
      </c>
      <c r="AE93" s="106">
        <f t="shared" si="42"/>
        <v>26</v>
      </c>
      <c r="AF93" s="130">
        <f t="shared" si="55"/>
        <v>10.33</v>
      </c>
      <c r="AG93" s="95">
        <f t="shared" si="43"/>
        <v>12</v>
      </c>
      <c r="AH93" s="95">
        <f t="shared" si="44"/>
        <v>10</v>
      </c>
      <c r="AI93" s="131">
        <f t="shared" si="56"/>
        <v>10.378785896192221</v>
      </c>
      <c r="AJ93" s="131">
        <f t="shared" si="56"/>
        <v>10.631214103807773</v>
      </c>
      <c r="AK93" s="131">
        <f t="shared" si="56"/>
        <v>10.252571792384446</v>
      </c>
      <c r="AL93" s="131">
        <f t="shared" si="56"/>
        <v>10.757428207615549</v>
      </c>
      <c r="AM93" s="131">
        <f t="shared" si="56"/>
        <v>10.12635768857667</v>
      </c>
      <c r="AN93" s="131">
        <f t="shared" si="56"/>
        <v>10.883642311423325</v>
      </c>
      <c r="AO93" s="131">
        <f t="shared" si="56"/>
        <v>10.504999999999997</v>
      </c>
      <c r="AP93" s="130"/>
      <c r="AQ93" s="95">
        <f t="shared" si="45"/>
        <v>0</v>
      </c>
      <c r="AR93" s="95">
        <f t="shared" si="46"/>
        <v>0</v>
      </c>
      <c r="BC93" s="94">
        <v>89</v>
      </c>
      <c r="BD93" s="108" t="e">
        <f t="shared" si="47"/>
        <v>#N/A</v>
      </c>
      <c r="BE93" s="94" t="str">
        <f t="shared" si="54"/>
        <v/>
      </c>
      <c r="BF93" s="109" t="str">
        <f t="shared" si="48"/>
        <v/>
      </c>
      <c r="BG93" s="109" t="str">
        <f t="shared" si="49"/>
        <v/>
      </c>
      <c r="BH93" s="109" t="str">
        <f t="shared" si="50"/>
        <v/>
      </c>
      <c r="BI93" s="109" t="str">
        <f t="shared" si="51"/>
        <v/>
      </c>
      <c r="BJ93" s="109" t="e">
        <f t="shared" si="52"/>
        <v>#N/A</v>
      </c>
      <c r="BK93" s="96"/>
      <c r="BL93" s="96"/>
      <c r="BM93" s="96"/>
      <c r="BN93" s="96"/>
      <c r="BO93" s="96"/>
      <c r="BP93" s="96"/>
      <c r="BQ93" s="96"/>
      <c r="BR93" s="96"/>
    </row>
    <row r="94" spans="1:70" s="132" customFormat="1" ht="13.15" x14ac:dyDescent="0.4">
      <c r="A94" s="92"/>
      <c r="B94" s="93">
        <v>90</v>
      </c>
      <c r="C94" s="116" t="str">
        <f t="shared" si="32"/>
        <v/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119">
        <v>0.4</v>
      </c>
      <c r="R94" s="120">
        <f t="shared" si="57"/>
        <v>10.378785896192221</v>
      </c>
      <c r="S94" s="117">
        <f t="shared" si="58"/>
        <v>1.9171448928375316</v>
      </c>
      <c r="T94" s="92"/>
      <c r="U94" s="92"/>
      <c r="V94" s="92"/>
      <c r="W94" s="92"/>
      <c r="X94" s="92"/>
      <c r="Y94" s="136"/>
      <c r="Z94" s="92"/>
      <c r="AA94" s="92"/>
      <c r="AB94" s="92"/>
      <c r="AC94" s="92"/>
      <c r="AD94" s="119">
        <v>90</v>
      </c>
      <c r="AE94" s="106">
        <f t="shared" si="42"/>
        <v>26</v>
      </c>
      <c r="AF94" s="130">
        <f t="shared" si="55"/>
        <v>10.33</v>
      </c>
      <c r="AG94" s="95">
        <f t="shared" si="43"/>
        <v>12</v>
      </c>
      <c r="AH94" s="95">
        <f t="shared" si="44"/>
        <v>10</v>
      </c>
      <c r="AI94" s="131">
        <f t="shared" si="56"/>
        <v>10.378785896192221</v>
      </c>
      <c r="AJ94" s="131">
        <f t="shared" si="56"/>
        <v>10.631214103807773</v>
      </c>
      <c r="AK94" s="131">
        <f t="shared" si="56"/>
        <v>10.252571792384446</v>
      </c>
      <c r="AL94" s="131">
        <f t="shared" si="56"/>
        <v>10.757428207615549</v>
      </c>
      <c r="AM94" s="131">
        <f t="shared" si="56"/>
        <v>10.12635768857667</v>
      </c>
      <c r="AN94" s="131">
        <f t="shared" si="56"/>
        <v>10.883642311423325</v>
      </c>
      <c r="AO94" s="131">
        <f t="shared" si="56"/>
        <v>10.504999999999997</v>
      </c>
      <c r="AP94" s="130"/>
      <c r="AQ94" s="95">
        <f t="shared" si="45"/>
        <v>0</v>
      </c>
      <c r="AR94" s="95">
        <f t="shared" si="46"/>
        <v>0</v>
      </c>
      <c r="BC94" s="94">
        <v>90</v>
      </c>
      <c r="BD94" s="108" t="e">
        <f t="shared" si="47"/>
        <v>#N/A</v>
      </c>
      <c r="BE94" s="94" t="str">
        <f t="shared" si="54"/>
        <v/>
      </c>
      <c r="BF94" s="109" t="str">
        <f t="shared" si="48"/>
        <v/>
      </c>
      <c r="BG94" s="109" t="str">
        <f t="shared" si="49"/>
        <v/>
      </c>
      <c r="BH94" s="109" t="str">
        <f t="shared" si="50"/>
        <v/>
      </c>
      <c r="BI94" s="109" t="str">
        <f t="shared" si="51"/>
        <v/>
      </c>
      <c r="BJ94" s="109" t="e">
        <f t="shared" si="52"/>
        <v>#N/A</v>
      </c>
      <c r="BK94" s="96"/>
      <c r="BL94" s="96"/>
      <c r="BM94" s="96"/>
      <c r="BN94" s="96"/>
      <c r="BO94" s="96"/>
      <c r="BP94" s="96"/>
      <c r="BQ94" s="96"/>
      <c r="BR94" s="96"/>
    </row>
    <row r="95" spans="1:70" s="132" customFormat="1" ht="13.15" x14ac:dyDescent="0.4">
      <c r="A95" s="92"/>
      <c r="B95" s="88">
        <v>91</v>
      </c>
      <c r="C95" s="116" t="str">
        <f t="shared" si="32"/>
        <v/>
      </c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119">
        <v>0.3</v>
      </c>
      <c r="R95" s="120">
        <f t="shared" si="57"/>
        <v>10.429271537715332</v>
      </c>
      <c r="S95" s="117">
        <f t="shared" si="58"/>
        <v>2.6401534601814518</v>
      </c>
      <c r="T95" s="92"/>
      <c r="U95" s="92"/>
      <c r="V95" s="92"/>
      <c r="W95" s="92"/>
      <c r="X95" s="92"/>
      <c r="Y95" s="136"/>
      <c r="Z95" s="92"/>
      <c r="AA95" s="92"/>
      <c r="AB95" s="92"/>
      <c r="AC95" s="92"/>
      <c r="AD95" s="119">
        <v>91</v>
      </c>
      <c r="AE95" s="106">
        <f t="shared" si="42"/>
        <v>26</v>
      </c>
      <c r="AF95" s="130">
        <f t="shared" si="55"/>
        <v>10.33</v>
      </c>
      <c r="AG95" s="95">
        <f t="shared" si="43"/>
        <v>12</v>
      </c>
      <c r="AH95" s="95">
        <f t="shared" si="44"/>
        <v>10</v>
      </c>
      <c r="AI95" s="131">
        <f t="shared" si="56"/>
        <v>10.378785896192221</v>
      </c>
      <c r="AJ95" s="131">
        <f t="shared" si="56"/>
        <v>10.631214103807773</v>
      </c>
      <c r="AK95" s="131">
        <f t="shared" si="56"/>
        <v>10.252571792384446</v>
      </c>
      <c r="AL95" s="131">
        <f t="shared" si="56"/>
        <v>10.757428207615549</v>
      </c>
      <c r="AM95" s="131">
        <f t="shared" si="56"/>
        <v>10.12635768857667</v>
      </c>
      <c r="AN95" s="131">
        <f t="shared" si="56"/>
        <v>10.883642311423325</v>
      </c>
      <c r="AO95" s="131">
        <f t="shared" si="56"/>
        <v>10.504999999999997</v>
      </c>
      <c r="AP95" s="130"/>
      <c r="AQ95" s="95">
        <f t="shared" si="45"/>
        <v>0</v>
      </c>
      <c r="AR95" s="95">
        <f t="shared" si="46"/>
        <v>0</v>
      </c>
      <c r="BC95" s="94">
        <v>91</v>
      </c>
      <c r="BD95" s="108" t="e">
        <f t="shared" si="47"/>
        <v>#N/A</v>
      </c>
      <c r="BE95" s="94" t="str">
        <f t="shared" si="54"/>
        <v/>
      </c>
      <c r="BF95" s="109" t="str">
        <f t="shared" si="48"/>
        <v/>
      </c>
      <c r="BG95" s="109" t="str">
        <f t="shared" si="49"/>
        <v/>
      </c>
      <c r="BH95" s="109" t="str">
        <f t="shared" si="50"/>
        <v/>
      </c>
      <c r="BI95" s="109" t="str">
        <f t="shared" si="51"/>
        <v/>
      </c>
      <c r="BJ95" s="109" t="e">
        <f t="shared" si="52"/>
        <v>#N/A</v>
      </c>
      <c r="BK95" s="96"/>
      <c r="BL95" s="96"/>
      <c r="BM95" s="96"/>
      <c r="BN95" s="96"/>
      <c r="BO95" s="96"/>
      <c r="BP95" s="96"/>
      <c r="BQ95" s="96"/>
      <c r="BR95" s="96"/>
    </row>
    <row r="96" spans="1:70" s="132" customFormat="1" ht="13.15" x14ac:dyDescent="0.4">
      <c r="A96" s="92"/>
      <c r="B96" s="93">
        <v>92</v>
      </c>
      <c r="C96" s="116" t="str">
        <f t="shared" si="32"/>
        <v/>
      </c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119">
        <v>0.2</v>
      </c>
      <c r="R96" s="120">
        <f t="shared" si="57"/>
        <v>10.467135768857665</v>
      </c>
      <c r="S96" s="117">
        <f t="shared" si="58"/>
        <v>3.0217527515100766</v>
      </c>
      <c r="T96" s="92"/>
      <c r="U96" s="92"/>
      <c r="V96" s="92"/>
      <c r="W96" s="92"/>
      <c r="X96" s="92"/>
      <c r="Y96" s="136"/>
      <c r="Z96" s="92"/>
      <c r="AA96" s="92"/>
      <c r="AB96" s="92"/>
      <c r="AC96" s="92"/>
      <c r="AD96" s="119">
        <v>92</v>
      </c>
      <c r="AE96" s="106">
        <f t="shared" si="42"/>
        <v>26</v>
      </c>
      <c r="AF96" s="130">
        <f t="shared" si="55"/>
        <v>10.33</v>
      </c>
      <c r="AG96" s="95">
        <f t="shared" si="43"/>
        <v>12</v>
      </c>
      <c r="AH96" s="95">
        <f t="shared" si="44"/>
        <v>10</v>
      </c>
      <c r="AI96" s="131">
        <f t="shared" si="56"/>
        <v>10.378785896192221</v>
      </c>
      <c r="AJ96" s="131">
        <f t="shared" si="56"/>
        <v>10.631214103807773</v>
      </c>
      <c r="AK96" s="131">
        <f t="shared" si="56"/>
        <v>10.252571792384446</v>
      </c>
      <c r="AL96" s="131">
        <f t="shared" si="56"/>
        <v>10.757428207615549</v>
      </c>
      <c r="AM96" s="131">
        <f t="shared" si="56"/>
        <v>10.12635768857667</v>
      </c>
      <c r="AN96" s="131">
        <f t="shared" si="56"/>
        <v>10.883642311423325</v>
      </c>
      <c r="AO96" s="131">
        <f t="shared" si="56"/>
        <v>10.504999999999997</v>
      </c>
      <c r="AP96" s="130"/>
      <c r="AQ96" s="95">
        <f t="shared" si="45"/>
        <v>0</v>
      </c>
      <c r="AR96" s="95">
        <f t="shared" si="46"/>
        <v>0</v>
      </c>
      <c r="BC96" s="94">
        <v>92</v>
      </c>
      <c r="BD96" s="108" t="e">
        <f t="shared" si="47"/>
        <v>#N/A</v>
      </c>
      <c r="BE96" s="94" t="str">
        <f t="shared" si="54"/>
        <v/>
      </c>
      <c r="BF96" s="109" t="str">
        <f t="shared" si="48"/>
        <v/>
      </c>
      <c r="BG96" s="109" t="str">
        <f t="shared" si="49"/>
        <v/>
      </c>
      <c r="BH96" s="109" t="str">
        <f t="shared" si="50"/>
        <v/>
      </c>
      <c r="BI96" s="109" t="str">
        <f t="shared" si="51"/>
        <v/>
      </c>
      <c r="BJ96" s="109" t="e">
        <f t="shared" si="52"/>
        <v>#N/A</v>
      </c>
      <c r="BK96" s="96"/>
      <c r="BL96" s="96"/>
      <c r="BM96" s="96"/>
      <c r="BN96" s="96"/>
      <c r="BO96" s="96"/>
      <c r="BP96" s="96"/>
      <c r="BQ96" s="96"/>
      <c r="BR96" s="96"/>
    </row>
    <row r="97" spans="1:70" s="132" customFormat="1" ht="13.15" x14ac:dyDescent="0.4">
      <c r="A97" s="92"/>
      <c r="B97" s="88">
        <v>93</v>
      </c>
      <c r="C97" s="116" t="str">
        <f t="shared" si="32"/>
        <v/>
      </c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119">
        <v>0.1</v>
      </c>
      <c r="R97" s="120">
        <f t="shared" si="57"/>
        <v>10.49237858961922</v>
      </c>
      <c r="S97" s="117">
        <f t="shared" si="58"/>
        <v>3.1450728207171825</v>
      </c>
      <c r="T97" s="92"/>
      <c r="U97" s="92"/>
      <c r="V97" s="92"/>
      <c r="W97" s="92"/>
      <c r="X97" s="92"/>
      <c r="Y97" s="136"/>
      <c r="Z97" s="92"/>
      <c r="AA97" s="92"/>
      <c r="AB97" s="92"/>
      <c r="AC97" s="92"/>
      <c r="AD97" s="119">
        <v>93</v>
      </c>
      <c r="AE97" s="106">
        <f t="shared" si="42"/>
        <v>26</v>
      </c>
      <c r="AF97" s="130">
        <f t="shared" si="55"/>
        <v>10.33</v>
      </c>
      <c r="AG97" s="95">
        <f t="shared" si="43"/>
        <v>12</v>
      </c>
      <c r="AH97" s="95">
        <f t="shared" si="44"/>
        <v>10</v>
      </c>
      <c r="AI97" s="131">
        <f t="shared" si="56"/>
        <v>10.378785896192221</v>
      </c>
      <c r="AJ97" s="131">
        <f t="shared" si="56"/>
        <v>10.631214103807773</v>
      </c>
      <c r="AK97" s="131">
        <f t="shared" si="56"/>
        <v>10.252571792384446</v>
      </c>
      <c r="AL97" s="131">
        <f t="shared" si="56"/>
        <v>10.757428207615549</v>
      </c>
      <c r="AM97" s="131">
        <f t="shared" si="56"/>
        <v>10.12635768857667</v>
      </c>
      <c r="AN97" s="131">
        <f t="shared" si="56"/>
        <v>10.883642311423325</v>
      </c>
      <c r="AO97" s="131">
        <f t="shared" si="56"/>
        <v>10.504999999999997</v>
      </c>
      <c r="AP97" s="130"/>
      <c r="AQ97" s="95">
        <f t="shared" si="45"/>
        <v>0</v>
      </c>
      <c r="AR97" s="95">
        <f t="shared" si="46"/>
        <v>0</v>
      </c>
      <c r="BC97" s="94">
        <v>93</v>
      </c>
      <c r="BD97" s="108" t="e">
        <f t="shared" si="47"/>
        <v>#N/A</v>
      </c>
      <c r="BE97" s="94" t="str">
        <f t="shared" si="54"/>
        <v/>
      </c>
      <c r="BF97" s="109" t="str">
        <f t="shared" si="48"/>
        <v/>
      </c>
      <c r="BG97" s="109" t="str">
        <f t="shared" si="49"/>
        <v/>
      </c>
      <c r="BH97" s="109" t="str">
        <f t="shared" si="50"/>
        <v/>
      </c>
      <c r="BI97" s="109" t="str">
        <f t="shared" si="51"/>
        <v/>
      </c>
      <c r="BJ97" s="109" t="e">
        <f t="shared" si="52"/>
        <v>#N/A</v>
      </c>
      <c r="BK97" s="96"/>
      <c r="BL97" s="96"/>
      <c r="BM97" s="96"/>
      <c r="BN97" s="96"/>
      <c r="BO97" s="96"/>
      <c r="BP97" s="96"/>
      <c r="BQ97" s="96"/>
      <c r="BR97" s="96"/>
    </row>
    <row r="98" spans="1:70" s="132" customFormat="1" ht="13.15" x14ac:dyDescent="0.4">
      <c r="A98" s="92"/>
      <c r="B98" s="93">
        <v>94</v>
      </c>
      <c r="C98" s="116" t="str">
        <f t="shared" si="32"/>
        <v/>
      </c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119">
        <v>0</v>
      </c>
      <c r="R98" s="120">
        <f>Mittelwert</f>
        <v>10.504999999999997</v>
      </c>
      <c r="S98" s="117">
        <f t="shared" si="58"/>
        <v>3.1608375638353627</v>
      </c>
      <c r="T98" s="92"/>
      <c r="U98" s="92"/>
      <c r="V98" s="92"/>
      <c r="W98" s="92"/>
      <c r="X98" s="92"/>
      <c r="Y98" s="136"/>
      <c r="Z98" s="92"/>
      <c r="AA98" s="92"/>
      <c r="AB98" s="92"/>
      <c r="AC98" s="92"/>
      <c r="AD98" s="119">
        <v>94</v>
      </c>
      <c r="AE98" s="106">
        <f t="shared" si="42"/>
        <v>26</v>
      </c>
      <c r="AF98" s="130">
        <f t="shared" si="55"/>
        <v>10.33</v>
      </c>
      <c r="AG98" s="95">
        <f t="shared" si="43"/>
        <v>12</v>
      </c>
      <c r="AH98" s="95">
        <f t="shared" si="44"/>
        <v>10</v>
      </c>
      <c r="AI98" s="131">
        <f t="shared" si="56"/>
        <v>10.378785896192221</v>
      </c>
      <c r="AJ98" s="131">
        <f t="shared" si="56"/>
        <v>10.631214103807773</v>
      </c>
      <c r="AK98" s="131">
        <f t="shared" si="56"/>
        <v>10.252571792384446</v>
      </c>
      <c r="AL98" s="131">
        <f t="shared" si="56"/>
        <v>10.757428207615549</v>
      </c>
      <c r="AM98" s="131">
        <f t="shared" si="56"/>
        <v>10.12635768857667</v>
      </c>
      <c r="AN98" s="131">
        <f t="shared" si="56"/>
        <v>10.883642311423325</v>
      </c>
      <c r="AO98" s="131">
        <f t="shared" si="56"/>
        <v>10.504999999999997</v>
      </c>
      <c r="AP98" s="130"/>
      <c r="AQ98" s="95">
        <f t="shared" si="45"/>
        <v>0</v>
      </c>
      <c r="AR98" s="95">
        <f t="shared" si="46"/>
        <v>0</v>
      </c>
      <c r="BC98" s="94">
        <v>94</v>
      </c>
      <c r="BD98" s="108" t="e">
        <f t="shared" si="47"/>
        <v>#N/A</v>
      </c>
      <c r="BE98" s="94" t="str">
        <f t="shared" si="54"/>
        <v/>
      </c>
      <c r="BF98" s="109" t="str">
        <f t="shared" si="48"/>
        <v/>
      </c>
      <c r="BG98" s="109" t="str">
        <f t="shared" si="49"/>
        <v/>
      </c>
      <c r="BH98" s="109" t="str">
        <f t="shared" si="50"/>
        <v/>
      </c>
      <c r="BI98" s="109" t="str">
        <f t="shared" si="51"/>
        <v/>
      </c>
      <c r="BJ98" s="109" t="e">
        <f t="shared" si="52"/>
        <v>#N/A</v>
      </c>
      <c r="BK98" s="96"/>
      <c r="BL98" s="96"/>
      <c r="BM98" s="96"/>
      <c r="BN98" s="96"/>
      <c r="BO98" s="96"/>
      <c r="BP98" s="96"/>
      <c r="BQ98" s="96"/>
      <c r="BR98" s="96"/>
    </row>
    <row r="99" spans="1:70" s="132" customFormat="1" ht="13.15" x14ac:dyDescent="0.4">
      <c r="A99" s="92"/>
      <c r="B99" s="88">
        <v>95</v>
      </c>
      <c r="C99" s="116" t="str">
        <f t="shared" si="32"/>
        <v/>
      </c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119">
        <v>0.1</v>
      </c>
      <c r="R99" s="120">
        <f t="shared" ref="R99:R109" si="60">R98+(Q99*Standardabweichung)</f>
        <v>10.517621410380775</v>
      </c>
      <c r="S99" s="117">
        <f t="shared" si="58"/>
        <v>3.1450728207171825</v>
      </c>
      <c r="T99" s="92"/>
      <c r="U99" s="92"/>
      <c r="V99" s="92"/>
      <c r="W99" s="92"/>
      <c r="X99" s="92"/>
      <c r="Y99" s="136"/>
      <c r="Z99" s="92"/>
      <c r="AA99" s="92"/>
      <c r="AB99" s="92"/>
      <c r="AC99" s="92"/>
      <c r="AD99" s="119">
        <v>95</v>
      </c>
      <c r="AE99" s="106">
        <f t="shared" si="42"/>
        <v>26</v>
      </c>
      <c r="AF99" s="130">
        <f t="shared" si="55"/>
        <v>10.33</v>
      </c>
      <c r="AG99" s="95">
        <f t="shared" si="43"/>
        <v>12</v>
      </c>
      <c r="AH99" s="95">
        <f t="shared" si="44"/>
        <v>10</v>
      </c>
      <c r="AI99" s="131">
        <f t="shared" si="56"/>
        <v>10.378785896192221</v>
      </c>
      <c r="AJ99" s="131">
        <f t="shared" si="56"/>
        <v>10.631214103807773</v>
      </c>
      <c r="AK99" s="131">
        <f t="shared" si="56"/>
        <v>10.252571792384446</v>
      </c>
      <c r="AL99" s="131">
        <f t="shared" si="56"/>
        <v>10.757428207615549</v>
      </c>
      <c r="AM99" s="131">
        <f t="shared" si="56"/>
        <v>10.12635768857667</v>
      </c>
      <c r="AN99" s="131">
        <f t="shared" si="56"/>
        <v>10.883642311423325</v>
      </c>
      <c r="AO99" s="131">
        <f t="shared" si="56"/>
        <v>10.504999999999997</v>
      </c>
      <c r="AP99" s="130"/>
      <c r="AQ99" s="95">
        <f t="shared" si="45"/>
        <v>0</v>
      </c>
      <c r="AR99" s="95">
        <f t="shared" si="46"/>
        <v>0</v>
      </c>
      <c r="BC99" s="94">
        <v>95</v>
      </c>
      <c r="BD99" s="108" t="e">
        <f t="shared" si="47"/>
        <v>#N/A</v>
      </c>
      <c r="BE99" s="94" t="str">
        <f t="shared" si="54"/>
        <v/>
      </c>
      <c r="BF99" s="109" t="str">
        <f t="shared" si="48"/>
        <v/>
      </c>
      <c r="BG99" s="109" t="str">
        <f t="shared" si="49"/>
        <v/>
      </c>
      <c r="BH99" s="109" t="str">
        <f t="shared" si="50"/>
        <v/>
      </c>
      <c r="BI99" s="109" t="str">
        <f t="shared" si="51"/>
        <v/>
      </c>
      <c r="BJ99" s="109" t="e">
        <f t="shared" si="52"/>
        <v>#N/A</v>
      </c>
      <c r="BK99" s="96"/>
      <c r="BL99" s="96"/>
      <c r="BM99" s="96"/>
      <c r="BN99" s="96"/>
      <c r="BO99" s="96"/>
      <c r="BP99" s="96"/>
      <c r="BQ99" s="96"/>
      <c r="BR99" s="96"/>
    </row>
    <row r="100" spans="1:70" s="132" customFormat="1" ht="13.15" x14ac:dyDescent="0.4">
      <c r="A100" s="92"/>
      <c r="B100" s="93">
        <v>96</v>
      </c>
      <c r="C100" s="116" t="str">
        <f t="shared" si="32"/>
        <v/>
      </c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119">
        <v>0.2</v>
      </c>
      <c r="R100" s="120">
        <f t="shared" si="60"/>
        <v>10.54286423114233</v>
      </c>
      <c r="S100" s="117">
        <f t="shared" si="58"/>
        <v>3.0217527515100766</v>
      </c>
      <c r="T100" s="92"/>
      <c r="U100" s="92"/>
      <c r="V100" s="92"/>
      <c r="W100" s="92"/>
      <c r="X100" s="92"/>
      <c r="Y100" s="136"/>
      <c r="Z100" s="92"/>
      <c r="AA100" s="92"/>
      <c r="AB100" s="92"/>
      <c r="AC100" s="92"/>
      <c r="AD100" s="119">
        <v>96</v>
      </c>
      <c r="AE100" s="106">
        <f t="shared" si="42"/>
        <v>26</v>
      </c>
      <c r="AF100" s="130">
        <f t="shared" si="55"/>
        <v>10.33</v>
      </c>
      <c r="AG100" s="95">
        <f t="shared" si="43"/>
        <v>12</v>
      </c>
      <c r="AH100" s="95">
        <f t="shared" si="44"/>
        <v>10</v>
      </c>
      <c r="AI100" s="131">
        <f t="shared" si="56"/>
        <v>10.378785896192221</v>
      </c>
      <c r="AJ100" s="131">
        <f t="shared" si="56"/>
        <v>10.631214103807773</v>
      </c>
      <c r="AK100" s="131">
        <f t="shared" si="56"/>
        <v>10.252571792384446</v>
      </c>
      <c r="AL100" s="131">
        <f t="shared" si="56"/>
        <v>10.757428207615549</v>
      </c>
      <c r="AM100" s="131">
        <f t="shared" si="56"/>
        <v>10.12635768857667</v>
      </c>
      <c r="AN100" s="131">
        <f t="shared" si="56"/>
        <v>10.883642311423325</v>
      </c>
      <c r="AO100" s="131">
        <f t="shared" si="56"/>
        <v>10.504999999999997</v>
      </c>
      <c r="AP100" s="130"/>
      <c r="AQ100" s="95">
        <f t="shared" si="45"/>
        <v>0</v>
      </c>
      <c r="AR100" s="95">
        <f t="shared" si="46"/>
        <v>0</v>
      </c>
      <c r="BC100" s="94">
        <v>96</v>
      </c>
      <c r="BD100" s="108" t="e">
        <f t="shared" si="47"/>
        <v>#N/A</v>
      </c>
      <c r="BE100" s="94" t="str">
        <f t="shared" si="54"/>
        <v/>
      </c>
      <c r="BF100" s="109" t="str">
        <f t="shared" si="48"/>
        <v/>
      </c>
      <c r="BG100" s="109" t="str">
        <f t="shared" si="49"/>
        <v/>
      </c>
      <c r="BH100" s="109" t="str">
        <f t="shared" si="50"/>
        <v/>
      </c>
      <c r="BI100" s="109" t="str">
        <f t="shared" si="51"/>
        <v/>
      </c>
      <c r="BJ100" s="109" t="e">
        <f t="shared" si="52"/>
        <v>#N/A</v>
      </c>
      <c r="BK100" s="96"/>
      <c r="BL100" s="96"/>
      <c r="BM100" s="96"/>
      <c r="BN100" s="96"/>
      <c r="BO100" s="96"/>
      <c r="BP100" s="96"/>
      <c r="BQ100" s="96"/>
      <c r="BR100" s="96"/>
    </row>
    <row r="101" spans="1:70" s="132" customFormat="1" ht="13.15" x14ac:dyDescent="0.4">
      <c r="A101" s="92"/>
      <c r="B101" s="88">
        <v>97</v>
      </c>
      <c r="C101" s="116" t="str">
        <f t="shared" si="32"/>
        <v/>
      </c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119">
        <v>0.3</v>
      </c>
      <c r="R101" s="120">
        <f t="shared" si="60"/>
        <v>10.580728462284663</v>
      </c>
      <c r="S101" s="117">
        <f t="shared" si="58"/>
        <v>2.6401534601814518</v>
      </c>
      <c r="T101" s="92"/>
      <c r="U101" s="92"/>
      <c r="V101" s="92"/>
      <c r="W101" s="92"/>
      <c r="X101" s="92"/>
      <c r="Y101" s="136"/>
      <c r="Z101" s="92"/>
      <c r="AA101" s="92"/>
      <c r="AB101" s="92"/>
      <c r="AC101" s="92"/>
      <c r="AD101" s="119">
        <v>97</v>
      </c>
      <c r="AE101" s="106">
        <f t="shared" ref="AE101:AE104" si="61">IF((Anzahl&gt;AD101),AD101,Anzahl)</f>
        <v>26</v>
      </c>
      <c r="AF101" s="130">
        <f t="shared" si="55"/>
        <v>10.33</v>
      </c>
      <c r="AG101" s="95">
        <f t="shared" ref="AG101:AG132" si="62">IF(C101&lt;&gt;"",OGW,AG100)</f>
        <v>12</v>
      </c>
      <c r="AH101" s="95">
        <f t="shared" ref="AH101:AH132" si="63">IF(C101&lt;&gt;"",UGW,AH100)</f>
        <v>10</v>
      </c>
      <c r="AI101" s="131">
        <f t="shared" si="56"/>
        <v>10.378785896192221</v>
      </c>
      <c r="AJ101" s="131">
        <f t="shared" si="56"/>
        <v>10.631214103807773</v>
      </c>
      <c r="AK101" s="131">
        <f t="shared" si="56"/>
        <v>10.252571792384446</v>
      </c>
      <c r="AL101" s="131">
        <f t="shared" si="56"/>
        <v>10.757428207615549</v>
      </c>
      <c r="AM101" s="131">
        <f t="shared" si="56"/>
        <v>10.12635768857667</v>
      </c>
      <c r="AN101" s="131">
        <f t="shared" si="56"/>
        <v>10.883642311423325</v>
      </c>
      <c r="AO101" s="131">
        <f t="shared" si="56"/>
        <v>10.504999999999997</v>
      </c>
      <c r="AP101" s="130"/>
      <c r="AQ101" s="95">
        <f t="shared" ref="AQ101:AQ132" si="64">IF(AND(C101&lt;&gt;"",C101&lt;UGW),1,0)</f>
        <v>0</v>
      </c>
      <c r="AR101" s="95">
        <f t="shared" ref="AR101:AR132" si="65">IF(AND(C101&lt;&gt;"",C101&gt;OGW),1,0)</f>
        <v>0</v>
      </c>
      <c r="BC101" s="94">
        <v>97</v>
      </c>
      <c r="BD101" s="108" t="e">
        <f t="shared" ref="BD101:BD132" si="66">IF(C101="",NA(),SMALL(xi,BE101))</f>
        <v>#N/A</v>
      </c>
      <c r="BE101" s="94" t="str">
        <f t="shared" si="54"/>
        <v/>
      </c>
      <c r="BF101" s="109" t="str">
        <f t="shared" ref="BF101:BF132" si="67">IF(C101="","",NORMSDIST((BD101-Mittelwert)/Standardabweichung))</f>
        <v/>
      </c>
      <c r="BG101" s="109" t="str">
        <f t="shared" ref="BG101:BG132" si="68">IF(C101="","",1-BF101)</f>
        <v/>
      </c>
      <c r="BH101" s="109" t="str">
        <f t="shared" ref="BH101:BH132" si="69">IF(C101="","",SMALL(BG,BE101))</f>
        <v/>
      </c>
      <c r="BI101" s="109" t="str">
        <f t="shared" ref="BI101:BI132" si="70">IF(C101="","",(2*BE101-1)*(LN(BH101)+LN(BF101)))</f>
        <v/>
      </c>
      <c r="BJ101" s="109" t="e">
        <f t="shared" ref="BJ101:BJ132" si="71">IF(C101="",NA(),NORMSINV((BE101-0.3)/(Anzahl+0.4)))</f>
        <v>#N/A</v>
      </c>
      <c r="BK101" s="96"/>
      <c r="BL101" s="96"/>
      <c r="BM101" s="96"/>
      <c r="BN101" s="96"/>
      <c r="BO101" s="96"/>
      <c r="BP101" s="96"/>
      <c r="BQ101" s="96"/>
      <c r="BR101" s="96"/>
    </row>
    <row r="102" spans="1:70" s="132" customFormat="1" ht="13.15" x14ac:dyDescent="0.4">
      <c r="A102" s="92"/>
      <c r="B102" s="93">
        <v>98</v>
      </c>
      <c r="C102" s="116" t="str">
        <f t="shared" si="32"/>
        <v/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119">
        <v>0.4</v>
      </c>
      <c r="R102" s="120">
        <f t="shared" si="60"/>
        <v>10.631214103807773</v>
      </c>
      <c r="S102" s="117">
        <f t="shared" si="58"/>
        <v>1.9171448928375316</v>
      </c>
      <c r="T102" s="92"/>
      <c r="U102" s="92"/>
      <c r="V102" s="92"/>
      <c r="W102" s="92"/>
      <c r="X102" s="92"/>
      <c r="Y102" s="136"/>
      <c r="Z102" s="92"/>
      <c r="AA102" s="92"/>
      <c r="AB102" s="92"/>
      <c r="AC102" s="92"/>
      <c r="AD102" s="119">
        <v>98</v>
      </c>
      <c r="AE102" s="106">
        <f t="shared" si="61"/>
        <v>26</v>
      </c>
      <c r="AF102" s="130">
        <f t="shared" si="55"/>
        <v>10.33</v>
      </c>
      <c r="AG102" s="95">
        <f t="shared" si="62"/>
        <v>12</v>
      </c>
      <c r="AH102" s="95">
        <f t="shared" si="63"/>
        <v>10</v>
      </c>
      <c r="AI102" s="131">
        <f t="shared" ref="AI102:AO117" si="72">AI101</f>
        <v>10.378785896192221</v>
      </c>
      <c r="AJ102" s="131">
        <f t="shared" si="72"/>
        <v>10.631214103807773</v>
      </c>
      <c r="AK102" s="131">
        <f t="shared" si="72"/>
        <v>10.252571792384446</v>
      </c>
      <c r="AL102" s="131">
        <f t="shared" si="72"/>
        <v>10.757428207615549</v>
      </c>
      <c r="AM102" s="131">
        <f t="shared" si="72"/>
        <v>10.12635768857667</v>
      </c>
      <c r="AN102" s="131">
        <f t="shared" si="72"/>
        <v>10.883642311423325</v>
      </c>
      <c r="AO102" s="131">
        <f t="shared" si="72"/>
        <v>10.504999999999997</v>
      </c>
      <c r="AP102" s="130"/>
      <c r="AQ102" s="95">
        <f t="shared" si="64"/>
        <v>0</v>
      </c>
      <c r="AR102" s="95">
        <f t="shared" si="65"/>
        <v>0</v>
      </c>
      <c r="BC102" s="94">
        <v>98</v>
      </c>
      <c r="BD102" s="108" t="e">
        <f t="shared" si="66"/>
        <v>#N/A</v>
      </c>
      <c r="BE102" s="94" t="str">
        <f t="shared" ref="BE102:BE133" si="73">IF(C102="","",1+BE101)</f>
        <v/>
      </c>
      <c r="BF102" s="109" t="str">
        <f t="shared" si="67"/>
        <v/>
      </c>
      <c r="BG102" s="109" t="str">
        <f t="shared" si="68"/>
        <v/>
      </c>
      <c r="BH102" s="109" t="str">
        <f t="shared" si="69"/>
        <v/>
      </c>
      <c r="BI102" s="109" t="str">
        <f t="shared" si="70"/>
        <v/>
      </c>
      <c r="BJ102" s="109" t="e">
        <f t="shared" si="71"/>
        <v>#N/A</v>
      </c>
      <c r="BK102" s="96"/>
      <c r="BL102" s="96"/>
      <c r="BM102" s="96"/>
      <c r="BN102" s="96"/>
      <c r="BO102" s="96"/>
      <c r="BP102" s="96"/>
      <c r="BQ102" s="96"/>
      <c r="BR102" s="96"/>
    </row>
    <row r="103" spans="1:70" s="132" customFormat="1" ht="13.15" x14ac:dyDescent="0.4">
      <c r="A103" s="92"/>
      <c r="B103" s="88">
        <v>99</v>
      </c>
      <c r="C103" s="116" t="str">
        <f t="shared" si="32"/>
        <v/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119">
        <v>0.5</v>
      </c>
      <c r="R103" s="120">
        <f t="shared" si="60"/>
        <v>10.694321155711661</v>
      </c>
      <c r="S103" s="117">
        <f t="shared" si="58"/>
        <v>1.0261737140181011</v>
      </c>
      <c r="T103" s="92"/>
      <c r="U103" s="92"/>
      <c r="V103" s="92"/>
      <c r="W103" s="92"/>
      <c r="X103" s="92"/>
      <c r="Y103" s="136"/>
      <c r="Z103" s="92"/>
      <c r="AA103" s="92"/>
      <c r="AB103" s="92"/>
      <c r="AC103" s="92"/>
      <c r="AD103" s="119">
        <v>99</v>
      </c>
      <c r="AE103" s="106">
        <f t="shared" si="61"/>
        <v>26</v>
      </c>
      <c r="AF103" s="130">
        <f t="shared" si="55"/>
        <v>10.33</v>
      </c>
      <c r="AG103" s="95">
        <f t="shared" si="62"/>
        <v>12</v>
      </c>
      <c r="AH103" s="95">
        <f t="shared" si="63"/>
        <v>10</v>
      </c>
      <c r="AI103" s="131">
        <f t="shared" si="72"/>
        <v>10.378785896192221</v>
      </c>
      <c r="AJ103" s="131">
        <f t="shared" si="72"/>
        <v>10.631214103807773</v>
      </c>
      <c r="AK103" s="131">
        <f t="shared" si="72"/>
        <v>10.252571792384446</v>
      </c>
      <c r="AL103" s="131">
        <f t="shared" si="72"/>
        <v>10.757428207615549</v>
      </c>
      <c r="AM103" s="131">
        <f t="shared" si="72"/>
        <v>10.12635768857667</v>
      </c>
      <c r="AN103" s="131">
        <f t="shared" si="72"/>
        <v>10.883642311423325</v>
      </c>
      <c r="AO103" s="131">
        <f t="shared" si="72"/>
        <v>10.504999999999997</v>
      </c>
      <c r="AP103" s="130"/>
      <c r="AQ103" s="95">
        <f t="shared" si="64"/>
        <v>0</v>
      </c>
      <c r="AR103" s="95">
        <f t="shared" si="65"/>
        <v>0</v>
      </c>
      <c r="BC103" s="94">
        <v>99</v>
      </c>
      <c r="BD103" s="108" t="e">
        <f t="shared" si="66"/>
        <v>#N/A</v>
      </c>
      <c r="BE103" s="94" t="str">
        <f t="shared" si="73"/>
        <v/>
      </c>
      <c r="BF103" s="109" t="str">
        <f t="shared" si="67"/>
        <v/>
      </c>
      <c r="BG103" s="109" t="str">
        <f t="shared" si="68"/>
        <v/>
      </c>
      <c r="BH103" s="109" t="str">
        <f t="shared" si="69"/>
        <v/>
      </c>
      <c r="BI103" s="109" t="str">
        <f t="shared" si="70"/>
        <v/>
      </c>
      <c r="BJ103" s="109" t="e">
        <f t="shared" si="71"/>
        <v>#N/A</v>
      </c>
      <c r="BK103" s="96"/>
      <c r="BL103" s="96"/>
      <c r="BM103" s="96"/>
      <c r="BN103" s="96"/>
      <c r="BO103" s="96"/>
      <c r="BP103" s="96"/>
      <c r="BQ103" s="96"/>
      <c r="BR103" s="96"/>
    </row>
    <row r="104" spans="1:70" s="132" customFormat="1" ht="13.15" x14ac:dyDescent="0.4">
      <c r="A104" s="92"/>
      <c r="B104" s="93">
        <v>100</v>
      </c>
      <c r="C104" s="116" t="str">
        <f>IF(F54="","",F54)</f>
        <v/>
      </c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119">
        <v>0.6</v>
      </c>
      <c r="R104" s="120">
        <f t="shared" si="60"/>
        <v>10.770049617996326</v>
      </c>
      <c r="S104" s="117">
        <f t="shared" si="58"/>
        <v>0.34848400181499511</v>
      </c>
      <c r="T104" s="92"/>
      <c r="U104" s="92"/>
      <c r="V104" s="92"/>
      <c r="W104" s="92"/>
      <c r="X104" s="92"/>
      <c r="Y104" s="136"/>
      <c r="Z104" s="92"/>
      <c r="AA104" s="92"/>
      <c r="AB104" s="92"/>
      <c r="AC104" s="92"/>
      <c r="AD104" s="119">
        <v>100</v>
      </c>
      <c r="AE104" s="106">
        <f t="shared" si="61"/>
        <v>26</v>
      </c>
      <c r="AF104" s="130">
        <f t="shared" si="55"/>
        <v>10.33</v>
      </c>
      <c r="AG104" s="95">
        <f t="shared" si="62"/>
        <v>12</v>
      </c>
      <c r="AH104" s="95">
        <f t="shared" si="63"/>
        <v>10</v>
      </c>
      <c r="AI104" s="131">
        <f t="shared" si="72"/>
        <v>10.378785896192221</v>
      </c>
      <c r="AJ104" s="131">
        <f t="shared" si="72"/>
        <v>10.631214103807773</v>
      </c>
      <c r="AK104" s="131">
        <f t="shared" si="72"/>
        <v>10.252571792384446</v>
      </c>
      <c r="AL104" s="131">
        <f t="shared" si="72"/>
        <v>10.757428207615549</v>
      </c>
      <c r="AM104" s="131">
        <f t="shared" si="72"/>
        <v>10.12635768857667</v>
      </c>
      <c r="AN104" s="131">
        <f t="shared" si="72"/>
        <v>10.883642311423325</v>
      </c>
      <c r="AO104" s="131">
        <f t="shared" si="72"/>
        <v>10.504999999999997</v>
      </c>
      <c r="AP104" s="130"/>
      <c r="AQ104" s="95">
        <f t="shared" si="64"/>
        <v>0</v>
      </c>
      <c r="AR104" s="95">
        <f t="shared" si="65"/>
        <v>0</v>
      </c>
      <c r="BC104" s="94">
        <v>100</v>
      </c>
      <c r="BD104" s="108" t="e">
        <f t="shared" si="66"/>
        <v>#N/A</v>
      </c>
      <c r="BE104" s="94" t="str">
        <f t="shared" si="73"/>
        <v/>
      </c>
      <c r="BF104" s="109" t="str">
        <f t="shared" si="67"/>
        <v/>
      </c>
      <c r="BG104" s="109" t="str">
        <f t="shared" si="68"/>
        <v/>
      </c>
      <c r="BH104" s="109" t="str">
        <f t="shared" si="69"/>
        <v/>
      </c>
      <c r="BI104" s="109" t="str">
        <f t="shared" si="70"/>
        <v/>
      </c>
      <c r="BJ104" s="109" t="e">
        <f t="shared" si="71"/>
        <v>#N/A</v>
      </c>
      <c r="BK104" s="96"/>
      <c r="BL104" s="96"/>
      <c r="BM104" s="96"/>
      <c r="BN104" s="96"/>
      <c r="BO104" s="96"/>
      <c r="BP104" s="96"/>
      <c r="BQ104" s="96"/>
      <c r="BR104" s="96"/>
    </row>
    <row r="105" spans="1:70" s="132" customFormat="1" ht="13.15" x14ac:dyDescent="0.4">
      <c r="A105" s="92"/>
      <c r="B105" s="88">
        <v>101</v>
      </c>
      <c r="C105" s="116" t="str">
        <f t="shared" ref="C105:C154" si="74">IF(I5="","",I5)</f>
        <v/>
      </c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119">
        <v>0.7</v>
      </c>
      <c r="R105" s="120">
        <f t="shared" si="60"/>
        <v>10.858399490661769</v>
      </c>
      <c r="S105" s="117">
        <f t="shared" si="58"/>
        <v>6.2714477575621028E-2</v>
      </c>
      <c r="T105" s="92"/>
      <c r="U105" s="92"/>
      <c r="V105" s="92"/>
      <c r="W105" s="92"/>
      <c r="X105" s="92"/>
      <c r="Y105" s="136"/>
      <c r="Z105" s="92"/>
      <c r="AA105" s="92"/>
      <c r="AB105" s="92"/>
      <c r="AC105" s="92"/>
      <c r="AD105" s="119">
        <v>101</v>
      </c>
      <c r="AE105" s="106">
        <f t="shared" ref="AE105:AE136" si="75">IF((Anzahl&gt;AD105),AD105,Anzahl)</f>
        <v>26</v>
      </c>
      <c r="AF105" s="130">
        <f t="shared" si="55"/>
        <v>10.33</v>
      </c>
      <c r="AG105" s="95">
        <f t="shared" si="62"/>
        <v>12</v>
      </c>
      <c r="AH105" s="95">
        <f t="shared" si="63"/>
        <v>10</v>
      </c>
      <c r="AI105" s="131">
        <f t="shared" si="72"/>
        <v>10.378785896192221</v>
      </c>
      <c r="AJ105" s="131">
        <f t="shared" si="72"/>
        <v>10.631214103807773</v>
      </c>
      <c r="AK105" s="131">
        <f t="shared" si="72"/>
        <v>10.252571792384446</v>
      </c>
      <c r="AL105" s="131">
        <f t="shared" si="72"/>
        <v>10.757428207615549</v>
      </c>
      <c r="AM105" s="131">
        <f t="shared" si="72"/>
        <v>10.12635768857667</v>
      </c>
      <c r="AN105" s="131">
        <f t="shared" si="72"/>
        <v>10.883642311423325</v>
      </c>
      <c r="AO105" s="131">
        <f t="shared" si="72"/>
        <v>10.504999999999997</v>
      </c>
      <c r="AP105" s="130"/>
      <c r="AQ105" s="95">
        <f t="shared" si="64"/>
        <v>0</v>
      </c>
      <c r="AR105" s="95">
        <f t="shared" si="65"/>
        <v>0</v>
      </c>
      <c r="BC105" s="94">
        <v>101</v>
      </c>
      <c r="BD105" s="108" t="e">
        <f t="shared" si="66"/>
        <v>#N/A</v>
      </c>
      <c r="BE105" s="94" t="str">
        <f t="shared" si="73"/>
        <v/>
      </c>
      <c r="BF105" s="109" t="str">
        <f t="shared" si="67"/>
        <v/>
      </c>
      <c r="BG105" s="109" t="str">
        <f t="shared" si="68"/>
        <v/>
      </c>
      <c r="BH105" s="109" t="str">
        <f t="shared" si="69"/>
        <v/>
      </c>
      <c r="BI105" s="109" t="str">
        <f t="shared" si="70"/>
        <v/>
      </c>
      <c r="BJ105" s="109" t="e">
        <f t="shared" si="71"/>
        <v>#N/A</v>
      </c>
      <c r="BK105" s="96"/>
      <c r="BL105" s="96"/>
      <c r="BM105" s="96"/>
      <c r="BN105" s="96"/>
      <c r="BO105" s="96"/>
      <c r="BP105" s="96"/>
      <c r="BQ105" s="96"/>
      <c r="BR105" s="96"/>
    </row>
    <row r="106" spans="1:70" s="132" customFormat="1" ht="13.15" x14ac:dyDescent="0.4">
      <c r="A106" s="92"/>
      <c r="B106" s="93">
        <v>102</v>
      </c>
      <c r="C106" s="116" t="str">
        <f>IF(I6="","",I6)</f>
        <v/>
      </c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119">
        <v>0.8</v>
      </c>
      <c r="R106" s="120">
        <f t="shared" si="60"/>
        <v>10.95937077370799</v>
      </c>
      <c r="S106" s="117">
        <f t="shared" si="58"/>
        <v>4.8481264110204732E-3</v>
      </c>
      <c r="T106" s="92"/>
      <c r="U106" s="92"/>
      <c r="V106" s="92"/>
      <c r="W106" s="92"/>
      <c r="X106" s="92"/>
      <c r="Y106" s="136"/>
      <c r="Z106" s="92"/>
      <c r="AA106" s="92"/>
      <c r="AB106" s="92"/>
      <c r="AC106" s="92"/>
      <c r="AD106" s="119">
        <v>102</v>
      </c>
      <c r="AE106" s="106">
        <f t="shared" si="75"/>
        <v>26</v>
      </c>
      <c r="AF106" s="130">
        <f t="shared" si="55"/>
        <v>10.33</v>
      </c>
      <c r="AG106" s="95">
        <f t="shared" si="62"/>
        <v>12</v>
      </c>
      <c r="AH106" s="95">
        <f t="shared" si="63"/>
        <v>10</v>
      </c>
      <c r="AI106" s="131">
        <f t="shared" si="72"/>
        <v>10.378785896192221</v>
      </c>
      <c r="AJ106" s="131">
        <f t="shared" si="72"/>
        <v>10.631214103807773</v>
      </c>
      <c r="AK106" s="131">
        <f t="shared" si="72"/>
        <v>10.252571792384446</v>
      </c>
      <c r="AL106" s="131">
        <f t="shared" si="72"/>
        <v>10.757428207615549</v>
      </c>
      <c r="AM106" s="131">
        <f t="shared" si="72"/>
        <v>10.12635768857667</v>
      </c>
      <c r="AN106" s="131">
        <f t="shared" si="72"/>
        <v>10.883642311423325</v>
      </c>
      <c r="AO106" s="131">
        <f t="shared" si="72"/>
        <v>10.504999999999997</v>
      </c>
      <c r="AP106" s="130"/>
      <c r="AQ106" s="95">
        <f t="shared" si="64"/>
        <v>0</v>
      </c>
      <c r="AR106" s="95">
        <f t="shared" si="65"/>
        <v>0</v>
      </c>
      <c r="BC106" s="94">
        <v>102</v>
      </c>
      <c r="BD106" s="108" t="e">
        <f t="shared" si="66"/>
        <v>#N/A</v>
      </c>
      <c r="BE106" s="94" t="str">
        <f t="shared" si="73"/>
        <v/>
      </c>
      <c r="BF106" s="109" t="str">
        <f t="shared" si="67"/>
        <v/>
      </c>
      <c r="BG106" s="109" t="str">
        <f t="shared" si="68"/>
        <v/>
      </c>
      <c r="BH106" s="109" t="str">
        <f t="shared" si="69"/>
        <v/>
      </c>
      <c r="BI106" s="109" t="str">
        <f t="shared" si="70"/>
        <v/>
      </c>
      <c r="BJ106" s="109" t="e">
        <f t="shared" si="71"/>
        <v>#N/A</v>
      </c>
      <c r="BK106" s="96"/>
      <c r="BL106" s="96"/>
      <c r="BM106" s="96"/>
      <c r="BN106" s="96"/>
      <c r="BO106" s="96"/>
      <c r="BP106" s="96"/>
      <c r="BQ106" s="96"/>
      <c r="BR106" s="96"/>
    </row>
    <row r="107" spans="1:70" s="132" customFormat="1" ht="13.15" x14ac:dyDescent="0.4">
      <c r="A107" s="92"/>
      <c r="B107" s="88">
        <v>103</v>
      </c>
      <c r="C107" s="116" t="str">
        <f t="shared" si="74"/>
        <v/>
      </c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119">
        <v>0.9</v>
      </c>
      <c r="R107" s="120">
        <f t="shared" si="60"/>
        <v>11.072963467134988</v>
      </c>
      <c r="S107" s="117">
        <f t="shared" si="58"/>
        <v>1.2663989700586982E-4</v>
      </c>
      <c r="T107" s="92"/>
      <c r="U107" s="92"/>
      <c r="V107" s="92"/>
      <c r="W107" s="92"/>
      <c r="X107" s="92"/>
      <c r="Y107" s="136"/>
      <c r="Z107" s="92"/>
      <c r="AA107" s="92"/>
      <c r="AB107" s="92"/>
      <c r="AC107" s="92"/>
      <c r="AD107" s="119">
        <v>103</v>
      </c>
      <c r="AE107" s="106">
        <f t="shared" si="75"/>
        <v>26</v>
      </c>
      <c r="AF107" s="130">
        <f t="shared" si="55"/>
        <v>10.33</v>
      </c>
      <c r="AG107" s="95">
        <f t="shared" si="62"/>
        <v>12</v>
      </c>
      <c r="AH107" s="95">
        <f t="shared" si="63"/>
        <v>10</v>
      </c>
      <c r="AI107" s="131">
        <f t="shared" si="72"/>
        <v>10.378785896192221</v>
      </c>
      <c r="AJ107" s="131">
        <f t="shared" si="72"/>
        <v>10.631214103807773</v>
      </c>
      <c r="AK107" s="131">
        <f t="shared" si="72"/>
        <v>10.252571792384446</v>
      </c>
      <c r="AL107" s="131">
        <f t="shared" si="72"/>
        <v>10.757428207615549</v>
      </c>
      <c r="AM107" s="131">
        <f t="shared" si="72"/>
        <v>10.12635768857667</v>
      </c>
      <c r="AN107" s="131">
        <f t="shared" si="72"/>
        <v>10.883642311423325</v>
      </c>
      <c r="AO107" s="131">
        <f t="shared" si="72"/>
        <v>10.504999999999997</v>
      </c>
      <c r="AP107" s="130"/>
      <c r="AQ107" s="95">
        <f t="shared" si="64"/>
        <v>0</v>
      </c>
      <c r="AR107" s="95">
        <f t="shared" si="65"/>
        <v>0</v>
      </c>
      <c r="BC107" s="94">
        <v>103</v>
      </c>
      <c r="BD107" s="108" t="e">
        <f t="shared" si="66"/>
        <v>#N/A</v>
      </c>
      <c r="BE107" s="94" t="str">
        <f t="shared" si="73"/>
        <v/>
      </c>
      <c r="BF107" s="109" t="str">
        <f t="shared" si="67"/>
        <v/>
      </c>
      <c r="BG107" s="109" t="str">
        <f t="shared" si="68"/>
        <v/>
      </c>
      <c r="BH107" s="109" t="str">
        <f t="shared" si="69"/>
        <v/>
      </c>
      <c r="BI107" s="109" t="str">
        <f t="shared" si="70"/>
        <v/>
      </c>
      <c r="BJ107" s="109" t="e">
        <f t="shared" si="71"/>
        <v>#N/A</v>
      </c>
      <c r="BK107" s="96"/>
      <c r="BL107" s="96"/>
      <c r="BM107" s="96"/>
      <c r="BN107" s="96"/>
      <c r="BO107" s="96"/>
      <c r="BP107" s="96"/>
      <c r="BQ107" s="96"/>
      <c r="BR107" s="96"/>
    </row>
    <row r="108" spans="1:70" s="132" customFormat="1" ht="13.15" x14ac:dyDescent="0.4">
      <c r="A108" s="92"/>
      <c r="B108" s="93">
        <v>104</v>
      </c>
      <c r="C108" s="116" t="str">
        <f t="shared" si="74"/>
        <v/>
      </c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119">
        <v>1</v>
      </c>
      <c r="R108" s="120">
        <f t="shared" si="60"/>
        <v>11.199177570942764</v>
      </c>
      <c r="S108" s="117">
        <f t="shared" si="58"/>
        <v>8.5329291399517643E-7</v>
      </c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119">
        <v>104</v>
      </c>
      <c r="AE108" s="106">
        <f t="shared" si="75"/>
        <v>26</v>
      </c>
      <c r="AF108" s="130">
        <f t="shared" si="55"/>
        <v>10.33</v>
      </c>
      <c r="AG108" s="95">
        <f t="shared" si="62"/>
        <v>12</v>
      </c>
      <c r="AH108" s="95">
        <f t="shared" si="63"/>
        <v>10</v>
      </c>
      <c r="AI108" s="131">
        <f t="shared" si="72"/>
        <v>10.378785896192221</v>
      </c>
      <c r="AJ108" s="131">
        <f t="shared" si="72"/>
        <v>10.631214103807773</v>
      </c>
      <c r="AK108" s="131">
        <f t="shared" si="72"/>
        <v>10.252571792384446</v>
      </c>
      <c r="AL108" s="131">
        <f t="shared" si="72"/>
        <v>10.757428207615549</v>
      </c>
      <c r="AM108" s="131">
        <f t="shared" si="72"/>
        <v>10.12635768857667</v>
      </c>
      <c r="AN108" s="131">
        <f t="shared" si="72"/>
        <v>10.883642311423325</v>
      </c>
      <c r="AO108" s="131">
        <f t="shared" si="72"/>
        <v>10.504999999999997</v>
      </c>
      <c r="AP108" s="130"/>
      <c r="AQ108" s="95">
        <f t="shared" si="64"/>
        <v>0</v>
      </c>
      <c r="AR108" s="95">
        <f t="shared" si="65"/>
        <v>0</v>
      </c>
      <c r="BC108" s="94">
        <v>104</v>
      </c>
      <c r="BD108" s="108" t="e">
        <f t="shared" si="66"/>
        <v>#N/A</v>
      </c>
      <c r="BE108" s="94" t="str">
        <f t="shared" si="73"/>
        <v/>
      </c>
      <c r="BF108" s="109" t="str">
        <f t="shared" si="67"/>
        <v/>
      </c>
      <c r="BG108" s="109" t="str">
        <f t="shared" si="68"/>
        <v/>
      </c>
      <c r="BH108" s="109" t="str">
        <f t="shared" si="69"/>
        <v/>
      </c>
      <c r="BI108" s="109" t="str">
        <f t="shared" si="70"/>
        <v/>
      </c>
      <c r="BJ108" s="109" t="e">
        <f t="shared" si="71"/>
        <v>#N/A</v>
      </c>
      <c r="BK108" s="96"/>
      <c r="BL108" s="96"/>
      <c r="BM108" s="96"/>
      <c r="BN108" s="96"/>
      <c r="BO108" s="96"/>
      <c r="BP108" s="96"/>
      <c r="BQ108" s="96"/>
      <c r="BR108" s="96"/>
    </row>
    <row r="109" spans="1:70" s="132" customFormat="1" ht="13.15" x14ac:dyDescent="0.4">
      <c r="A109" s="92"/>
      <c r="B109" s="88">
        <v>105</v>
      </c>
      <c r="C109" s="116" t="str">
        <f t="shared" si="74"/>
        <v/>
      </c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119">
        <v>1.1000000000000001</v>
      </c>
      <c r="R109" s="120">
        <f t="shared" si="60"/>
        <v>11.338013085131317</v>
      </c>
      <c r="S109" s="117">
        <f t="shared" si="58"/>
        <v>1.0986727729550035E-9</v>
      </c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119">
        <v>105</v>
      </c>
      <c r="AE109" s="106">
        <f t="shared" si="75"/>
        <v>26</v>
      </c>
      <c r="AF109" s="130">
        <f t="shared" si="55"/>
        <v>10.33</v>
      </c>
      <c r="AG109" s="95">
        <f t="shared" si="62"/>
        <v>12</v>
      </c>
      <c r="AH109" s="95">
        <f t="shared" si="63"/>
        <v>10</v>
      </c>
      <c r="AI109" s="131">
        <f t="shared" si="72"/>
        <v>10.378785896192221</v>
      </c>
      <c r="AJ109" s="131">
        <f t="shared" si="72"/>
        <v>10.631214103807773</v>
      </c>
      <c r="AK109" s="131">
        <f t="shared" si="72"/>
        <v>10.252571792384446</v>
      </c>
      <c r="AL109" s="131">
        <f t="shared" si="72"/>
        <v>10.757428207615549</v>
      </c>
      <c r="AM109" s="131">
        <f t="shared" si="72"/>
        <v>10.12635768857667</v>
      </c>
      <c r="AN109" s="131">
        <f t="shared" si="72"/>
        <v>10.883642311423325</v>
      </c>
      <c r="AO109" s="131">
        <f t="shared" si="72"/>
        <v>10.504999999999997</v>
      </c>
      <c r="AP109" s="130"/>
      <c r="AQ109" s="95">
        <f t="shared" si="64"/>
        <v>0</v>
      </c>
      <c r="AR109" s="95">
        <f t="shared" si="65"/>
        <v>0</v>
      </c>
      <c r="BC109" s="94">
        <v>105</v>
      </c>
      <c r="BD109" s="108" t="e">
        <f t="shared" si="66"/>
        <v>#N/A</v>
      </c>
      <c r="BE109" s="94" t="str">
        <f t="shared" si="73"/>
        <v/>
      </c>
      <c r="BF109" s="109" t="str">
        <f t="shared" si="67"/>
        <v/>
      </c>
      <c r="BG109" s="109" t="str">
        <f t="shared" si="68"/>
        <v/>
      </c>
      <c r="BH109" s="109" t="str">
        <f t="shared" si="69"/>
        <v/>
      </c>
      <c r="BI109" s="109" t="str">
        <f t="shared" si="70"/>
        <v/>
      </c>
      <c r="BJ109" s="109" t="e">
        <f t="shared" si="71"/>
        <v>#N/A</v>
      </c>
      <c r="BK109" s="96"/>
      <c r="BL109" s="96"/>
      <c r="BM109" s="96"/>
      <c r="BN109" s="96"/>
      <c r="BO109" s="96"/>
      <c r="BP109" s="96"/>
      <c r="BQ109" s="96"/>
      <c r="BR109" s="96"/>
    </row>
    <row r="110" spans="1:70" s="132" customFormat="1" ht="13.15" x14ac:dyDescent="0.4">
      <c r="A110" s="92"/>
      <c r="B110" s="93">
        <v>106</v>
      </c>
      <c r="C110" s="116" t="str">
        <f t="shared" si="74"/>
        <v/>
      </c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Z110" s="92"/>
      <c r="AA110" s="92"/>
      <c r="AB110" s="92"/>
      <c r="AC110" s="92"/>
      <c r="AD110" s="119">
        <v>106</v>
      </c>
      <c r="AE110" s="106">
        <f t="shared" si="75"/>
        <v>26</v>
      </c>
      <c r="AF110" s="130">
        <f t="shared" si="55"/>
        <v>10.33</v>
      </c>
      <c r="AG110" s="95">
        <f t="shared" si="62"/>
        <v>12</v>
      </c>
      <c r="AH110" s="95">
        <f t="shared" si="63"/>
        <v>10</v>
      </c>
      <c r="AI110" s="131">
        <f t="shared" si="72"/>
        <v>10.378785896192221</v>
      </c>
      <c r="AJ110" s="131">
        <f t="shared" si="72"/>
        <v>10.631214103807773</v>
      </c>
      <c r="AK110" s="131">
        <f t="shared" si="72"/>
        <v>10.252571792384446</v>
      </c>
      <c r="AL110" s="131">
        <f t="shared" si="72"/>
        <v>10.757428207615549</v>
      </c>
      <c r="AM110" s="131">
        <f t="shared" si="72"/>
        <v>10.12635768857667</v>
      </c>
      <c r="AN110" s="131">
        <f t="shared" si="72"/>
        <v>10.883642311423325</v>
      </c>
      <c r="AO110" s="131">
        <f t="shared" si="72"/>
        <v>10.504999999999997</v>
      </c>
      <c r="AP110" s="130"/>
      <c r="AQ110" s="95">
        <f t="shared" si="64"/>
        <v>0</v>
      </c>
      <c r="AR110" s="95">
        <f t="shared" si="65"/>
        <v>0</v>
      </c>
      <c r="BC110" s="94">
        <v>106</v>
      </c>
      <c r="BD110" s="108" t="e">
        <f t="shared" si="66"/>
        <v>#N/A</v>
      </c>
      <c r="BE110" s="94" t="str">
        <f t="shared" si="73"/>
        <v/>
      </c>
      <c r="BF110" s="109" t="str">
        <f t="shared" si="67"/>
        <v/>
      </c>
      <c r="BG110" s="109" t="str">
        <f t="shared" si="68"/>
        <v/>
      </c>
      <c r="BH110" s="109" t="str">
        <f t="shared" si="69"/>
        <v/>
      </c>
      <c r="BI110" s="109" t="str">
        <f t="shared" si="70"/>
        <v/>
      </c>
      <c r="BJ110" s="109" t="e">
        <f t="shared" si="71"/>
        <v>#N/A</v>
      </c>
      <c r="BK110" s="96"/>
      <c r="BL110" s="96"/>
      <c r="BM110" s="96"/>
      <c r="BN110" s="96"/>
      <c r="BO110" s="96"/>
      <c r="BP110" s="96"/>
      <c r="BQ110" s="96"/>
      <c r="BR110" s="96"/>
    </row>
    <row r="111" spans="1:70" s="132" customFormat="1" ht="13.15" x14ac:dyDescent="0.4">
      <c r="A111" s="92"/>
      <c r="B111" s="88">
        <v>107</v>
      </c>
      <c r="C111" s="116" t="str">
        <f t="shared" si="74"/>
        <v/>
      </c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Z111" s="92"/>
      <c r="AA111" s="92"/>
      <c r="AB111" s="92"/>
      <c r="AC111" s="92"/>
      <c r="AD111" s="119">
        <v>107</v>
      </c>
      <c r="AE111" s="106">
        <f t="shared" si="75"/>
        <v>26</v>
      </c>
      <c r="AF111" s="130">
        <f t="shared" si="55"/>
        <v>10.33</v>
      </c>
      <c r="AG111" s="95">
        <f t="shared" si="62"/>
        <v>12</v>
      </c>
      <c r="AH111" s="95">
        <f t="shared" si="63"/>
        <v>10</v>
      </c>
      <c r="AI111" s="131">
        <f t="shared" si="72"/>
        <v>10.378785896192221</v>
      </c>
      <c r="AJ111" s="131">
        <f t="shared" si="72"/>
        <v>10.631214103807773</v>
      </c>
      <c r="AK111" s="131">
        <f t="shared" si="72"/>
        <v>10.252571792384446</v>
      </c>
      <c r="AL111" s="131">
        <f t="shared" si="72"/>
        <v>10.757428207615549</v>
      </c>
      <c r="AM111" s="131">
        <f t="shared" si="72"/>
        <v>10.12635768857667</v>
      </c>
      <c r="AN111" s="131">
        <f t="shared" si="72"/>
        <v>10.883642311423325</v>
      </c>
      <c r="AO111" s="131">
        <f t="shared" si="72"/>
        <v>10.504999999999997</v>
      </c>
      <c r="AP111" s="130"/>
      <c r="AQ111" s="95">
        <f t="shared" si="64"/>
        <v>0</v>
      </c>
      <c r="AR111" s="95">
        <f t="shared" si="65"/>
        <v>0</v>
      </c>
      <c r="BC111" s="94">
        <v>107</v>
      </c>
      <c r="BD111" s="108" t="e">
        <f t="shared" si="66"/>
        <v>#N/A</v>
      </c>
      <c r="BE111" s="94" t="str">
        <f t="shared" si="73"/>
        <v/>
      </c>
      <c r="BF111" s="109" t="str">
        <f t="shared" si="67"/>
        <v/>
      </c>
      <c r="BG111" s="109" t="str">
        <f t="shared" si="68"/>
        <v/>
      </c>
      <c r="BH111" s="109" t="str">
        <f t="shared" si="69"/>
        <v/>
      </c>
      <c r="BI111" s="109" t="str">
        <f t="shared" si="70"/>
        <v/>
      </c>
      <c r="BJ111" s="109" t="e">
        <f t="shared" si="71"/>
        <v>#N/A</v>
      </c>
      <c r="BK111" s="96"/>
      <c r="BL111" s="96"/>
      <c r="BM111" s="96"/>
      <c r="BN111" s="96"/>
      <c r="BO111" s="96"/>
      <c r="BP111" s="96"/>
      <c r="BQ111" s="96"/>
      <c r="BR111" s="96"/>
    </row>
    <row r="112" spans="1:70" s="132" customFormat="1" ht="13.15" x14ac:dyDescent="0.4">
      <c r="A112" s="92"/>
      <c r="B112" s="93">
        <v>108</v>
      </c>
      <c r="C112" s="116" t="str">
        <f t="shared" si="74"/>
        <v/>
      </c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Z112" s="92"/>
      <c r="AA112" s="92"/>
      <c r="AB112" s="92"/>
      <c r="AC112" s="92"/>
      <c r="AD112" s="119">
        <v>108</v>
      </c>
      <c r="AE112" s="106">
        <f t="shared" si="75"/>
        <v>26</v>
      </c>
      <c r="AF112" s="130">
        <f t="shared" si="55"/>
        <v>10.33</v>
      </c>
      <c r="AG112" s="95">
        <f t="shared" si="62"/>
        <v>12</v>
      </c>
      <c r="AH112" s="95">
        <f t="shared" si="63"/>
        <v>10</v>
      </c>
      <c r="AI112" s="131">
        <f t="shared" si="72"/>
        <v>10.378785896192221</v>
      </c>
      <c r="AJ112" s="131">
        <f t="shared" si="72"/>
        <v>10.631214103807773</v>
      </c>
      <c r="AK112" s="131">
        <f t="shared" si="72"/>
        <v>10.252571792384446</v>
      </c>
      <c r="AL112" s="131">
        <f t="shared" si="72"/>
        <v>10.757428207615549</v>
      </c>
      <c r="AM112" s="131">
        <f t="shared" si="72"/>
        <v>10.12635768857667</v>
      </c>
      <c r="AN112" s="131">
        <f t="shared" si="72"/>
        <v>10.883642311423325</v>
      </c>
      <c r="AO112" s="131">
        <f t="shared" si="72"/>
        <v>10.504999999999997</v>
      </c>
      <c r="AP112" s="130"/>
      <c r="AQ112" s="95">
        <f t="shared" si="64"/>
        <v>0</v>
      </c>
      <c r="AR112" s="95">
        <f t="shared" si="65"/>
        <v>0</v>
      </c>
      <c r="BC112" s="94">
        <v>108</v>
      </c>
      <c r="BD112" s="108" t="e">
        <f t="shared" si="66"/>
        <v>#N/A</v>
      </c>
      <c r="BE112" s="94" t="str">
        <f t="shared" si="73"/>
        <v/>
      </c>
      <c r="BF112" s="109" t="str">
        <f t="shared" si="67"/>
        <v/>
      </c>
      <c r="BG112" s="109" t="str">
        <f t="shared" si="68"/>
        <v/>
      </c>
      <c r="BH112" s="109" t="str">
        <f t="shared" si="69"/>
        <v/>
      </c>
      <c r="BI112" s="109" t="str">
        <f t="shared" si="70"/>
        <v/>
      </c>
      <c r="BJ112" s="109" t="e">
        <f t="shared" si="71"/>
        <v>#N/A</v>
      </c>
      <c r="BK112" s="96"/>
      <c r="BL112" s="96"/>
      <c r="BM112" s="96"/>
      <c r="BN112" s="96"/>
      <c r="BO112" s="96"/>
      <c r="BP112" s="96"/>
      <c r="BQ112" s="96"/>
      <c r="BR112" s="96"/>
    </row>
    <row r="113" spans="1:70" s="132" customFormat="1" ht="13.15" x14ac:dyDescent="0.4">
      <c r="A113" s="92"/>
      <c r="B113" s="88">
        <v>109</v>
      </c>
      <c r="C113" s="116" t="str">
        <f t="shared" si="74"/>
        <v/>
      </c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Z113" s="92"/>
      <c r="AA113" s="92"/>
      <c r="AB113" s="92"/>
      <c r="AC113" s="92"/>
      <c r="AD113" s="119">
        <v>109</v>
      </c>
      <c r="AE113" s="106">
        <f t="shared" si="75"/>
        <v>26</v>
      </c>
      <c r="AF113" s="130">
        <f t="shared" si="55"/>
        <v>10.33</v>
      </c>
      <c r="AG113" s="95">
        <f t="shared" si="62"/>
        <v>12</v>
      </c>
      <c r="AH113" s="95">
        <f t="shared" si="63"/>
        <v>10</v>
      </c>
      <c r="AI113" s="131">
        <f t="shared" si="72"/>
        <v>10.378785896192221</v>
      </c>
      <c r="AJ113" s="131">
        <f t="shared" si="72"/>
        <v>10.631214103807773</v>
      </c>
      <c r="AK113" s="131">
        <f t="shared" si="72"/>
        <v>10.252571792384446</v>
      </c>
      <c r="AL113" s="131">
        <f t="shared" si="72"/>
        <v>10.757428207615549</v>
      </c>
      <c r="AM113" s="131">
        <f t="shared" si="72"/>
        <v>10.12635768857667</v>
      </c>
      <c r="AN113" s="131">
        <f t="shared" si="72"/>
        <v>10.883642311423325</v>
      </c>
      <c r="AO113" s="131">
        <f t="shared" si="72"/>
        <v>10.504999999999997</v>
      </c>
      <c r="AP113" s="130"/>
      <c r="AQ113" s="95">
        <f t="shared" si="64"/>
        <v>0</v>
      </c>
      <c r="AR113" s="95">
        <f t="shared" si="65"/>
        <v>0</v>
      </c>
      <c r="BC113" s="94">
        <v>109</v>
      </c>
      <c r="BD113" s="108" t="e">
        <f t="shared" si="66"/>
        <v>#N/A</v>
      </c>
      <c r="BE113" s="94" t="str">
        <f t="shared" si="73"/>
        <v/>
      </c>
      <c r="BF113" s="109" t="str">
        <f t="shared" si="67"/>
        <v/>
      </c>
      <c r="BG113" s="109" t="str">
        <f t="shared" si="68"/>
        <v/>
      </c>
      <c r="BH113" s="109" t="str">
        <f t="shared" si="69"/>
        <v/>
      </c>
      <c r="BI113" s="109" t="str">
        <f t="shared" si="70"/>
        <v/>
      </c>
      <c r="BJ113" s="109" t="e">
        <f t="shared" si="71"/>
        <v>#N/A</v>
      </c>
      <c r="BK113" s="96"/>
      <c r="BL113" s="96"/>
      <c r="BM113" s="96"/>
      <c r="BN113" s="96"/>
      <c r="BO113" s="96"/>
      <c r="BP113" s="96"/>
      <c r="BQ113" s="96"/>
      <c r="BR113" s="96"/>
    </row>
    <row r="114" spans="1:70" s="132" customFormat="1" ht="13.15" x14ac:dyDescent="0.4">
      <c r="A114" s="92"/>
      <c r="B114" s="93">
        <v>110</v>
      </c>
      <c r="C114" s="116" t="str">
        <f t="shared" si="74"/>
        <v/>
      </c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Z114" s="92"/>
      <c r="AA114" s="92"/>
      <c r="AB114" s="92"/>
      <c r="AC114" s="92"/>
      <c r="AD114" s="119">
        <v>110</v>
      </c>
      <c r="AE114" s="106">
        <f t="shared" si="75"/>
        <v>26</v>
      </c>
      <c r="AF114" s="130">
        <f t="shared" si="55"/>
        <v>10.33</v>
      </c>
      <c r="AG114" s="95">
        <f t="shared" si="62"/>
        <v>12</v>
      </c>
      <c r="AH114" s="95">
        <f t="shared" si="63"/>
        <v>10</v>
      </c>
      <c r="AI114" s="131">
        <f t="shared" si="72"/>
        <v>10.378785896192221</v>
      </c>
      <c r="AJ114" s="131">
        <f t="shared" si="72"/>
        <v>10.631214103807773</v>
      </c>
      <c r="AK114" s="131">
        <f t="shared" si="72"/>
        <v>10.252571792384446</v>
      </c>
      <c r="AL114" s="131">
        <f t="shared" si="72"/>
        <v>10.757428207615549</v>
      </c>
      <c r="AM114" s="131">
        <f t="shared" si="72"/>
        <v>10.12635768857667</v>
      </c>
      <c r="AN114" s="131">
        <f t="shared" si="72"/>
        <v>10.883642311423325</v>
      </c>
      <c r="AO114" s="131">
        <f t="shared" si="72"/>
        <v>10.504999999999997</v>
      </c>
      <c r="AP114" s="130"/>
      <c r="AQ114" s="95">
        <f t="shared" si="64"/>
        <v>0</v>
      </c>
      <c r="AR114" s="95">
        <f t="shared" si="65"/>
        <v>0</v>
      </c>
      <c r="BC114" s="94">
        <v>110</v>
      </c>
      <c r="BD114" s="108" t="e">
        <f t="shared" si="66"/>
        <v>#N/A</v>
      </c>
      <c r="BE114" s="94" t="str">
        <f t="shared" si="73"/>
        <v/>
      </c>
      <c r="BF114" s="109" t="str">
        <f t="shared" si="67"/>
        <v/>
      </c>
      <c r="BG114" s="109" t="str">
        <f t="shared" si="68"/>
        <v/>
      </c>
      <c r="BH114" s="109" t="str">
        <f t="shared" si="69"/>
        <v/>
      </c>
      <c r="BI114" s="109" t="str">
        <f t="shared" si="70"/>
        <v/>
      </c>
      <c r="BJ114" s="109" t="e">
        <f t="shared" si="71"/>
        <v>#N/A</v>
      </c>
      <c r="BK114" s="96"/>
      <c r="BL114" s="96"/>
      <c r="BM114" s="96"/>
      <c r="BN114" s="96"/>
      <c r="BO114" s="96"/>
      <c r="BP114" s="96"/>
      <c r="BQ114" s="96"/>
      <c r="BR114" s="96"/>
    </row>
    <row r="115" spans="1:70" s="132" customFormat="1" ht="13.15" x14ac:dyDescent="0.4">
      <c r="A115" s="92"/>
      <c r="B115" s="88">
        <v>111</v>
      </c>
      <c r="C115" s="116" t="str">
        <f t="shared" si="74"/>
        <v/>
      </c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Z115" s="92"/>
      <c r="AA115" s="92"/>
      <c r="AB115" s="92"/>
      <c r="AC115" s="92"/>
      <c r="AD115" s="119">
        <v>111</v>
      </c>
      <c r="AE115" s="106">
        <f t="shared" si="75"/>
        <v>26</v>
      </c>
      <c r="AF115" s="130">
        <f t="shared" si="55"/>
        <v>10.33</v>
      </c>
      <c r="AG115" s="95">
        <f t="shared" si="62"/>
        <v>12</v>
      </c>
      <c r="AH115" s="95">
        <f t="shared" si="63"/>
        <v>10</v>
      </c>
      <c r="AI115" s="131">
        <f t="shared" si="72"/>
        <v>10.378785896192221</v>
      </c>
      <c r="AJ115" s="131">
        <f t="shared" si="72"/>
        <v>10.631214103807773</v>
      </c>
      <c r="AK115" s="131">
        <f t="shared" si="72"/>
        <v>10.252571792384446</v>
      </c>
      <c r="AL115" s="131">
        <f t="shared" si="72"/>
        <v>10.757428207615549</v>
      </c>
      <c r="AM115" s="131">
        <f t="shared" si="72"/>
        <v>10.12635768857667</v>
      </c>
      <c r="AN115" s="131">
        <f t="shared" si="72"/>
        <v>10.883642311423325</v>
      </c>
      <c r="AO115" s="131">
        <f t="shared" si="72"/>
        <v>10.504999999999997</v>
      </c>
      <c r="AP115" s="130"/>
      <c r="AQ115" s="95">
        <f t="shared" si="64"/>
        <v>0</v>
      </c>
      <c r="AR115" s="95">
        <f t="shared" si="65"/>
        <v>0</v>
      </c>
      <c r="BC115" s="94">
        <v>111</v>
      </c>
      <c r="BD115" s="108" t="e">
        <f t="shared" si="66"/>
        <v>#N/A</v>
      </c>
      <c r="BE115" s="94" t="str">
        <f t="shared" si="73"/>
        <v/>
      </c>
      <c r="BF115" s="109" t="str">
        <f t="shared" si="67"/>
        <v/>
      </c>
      <c r="BG115" s="109" t="str">
        <f t="shared" si="68"/>
        <v/>
      </c>
      <c r="BH115" s="109" t="str">
        <f t="shared" si="69"/>
        <v/>
      </c>
      <c r="BI115" s="109" t="str">
        <f t="shared" si="70"/>
        <v/>
      </c>
      <c r="BJ115" s="109" t="e">
        <f t="shared" si="71"/>
        <v>#N/A</v>
      </c>
      <c r="BK115" s="96"/>
      <c r="BL115" s="96"/>
      <c r="BM115" s="96"/>
      <c r="BN115" s="96"/>
      <c r="BO115" s="96"/>
      <c r="BP115" s="96"/>
      <c r="BQ115" s="96"/>
      <c r="BR115" s="96"/>
    </row>
    <row r="116" spans="1:70" s="132" customFormat="1" ht="13.15" x14ac:dyDescent="0.4">
      <c r="A116" s="92"/>
      <c r="B116" s="93">
        <v>112</v>
      </c>
      <c r="C116" s="116" t="str">
        <f t="shared" si="74"/>
        <v/>
      </c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Z116" s="92"/>
      <c r="AA116" s="92"/>
      <c r="AB116" s="92"/>
      <c r="AC116" s="92"/>
      <c r="AD116" s="119">
        <v>112</v>
      </c>
      <c r="AE116" s="106">
        <f t="shared" si="75"/>
        <v>26</v>
      </c>
      <c r="AF116" s="130">
        <f t="shared" si="55"/>
        <v>10.33</v>
      </c>
      <c r="AG116" s="95">
        <f t="shared" si="62"/>
        <v>12</v>
      </c>
      <c r="AH116" s="95">
        <f t="shared" si="63"/>
        <v>10</v>
      </c>
      <c r="AI116" s="131">
        <f t="shared" si="72"/>
        <v>10.378785896192221</v>
      </c>
      <c r="AJ116" s="131">
        <f t="shared" si="72"/>
        <v>10.631214103807773</v>
      </c>
      <c r="AK116" s="131">
        <f t="shared" si="72"/>
        <v>10.252571792384446</v>
      </c>
      <c r="AL116" s="131">
        <f t="shared" si="72"/>
        <v>10.757428207615549</v>
      </c>
      <c r="AM116" s="131">
        <f t="shared" si="72"/>
        <v>10.12635768857667</v>
      </c>
      <c r="AN116" s="131">
        <f t="shared" si="72"/>
        <v>10.883642311423325</v>
      </c>
      <c r="AO116" s="131">
        <f t="shared" si="72"/>
        <v>10.504999999999997</v>
      </c>
      <c r="AP116" s="130"/>
      <c r="AQ116" s="95">
        <f t="shared" si="64"/>
        <v>0</v>
      </c>
      <c r="AR116" s="95">
        <f t="shared" si="65"/>
        <v>0</v>
      </c>
      <c r="BC116" s="94">
        <v>112</v>
      </c>
      <c r="BD116" s="108" t="e">
        <f t="shared" si="66"/>
        <v>#N/A</v>
      </c>
      <c r="BE116" s="94" t="str">
        <f t="shared" si="73"/>
        <v/>
      </c>
      <c r="BF116" s="109" t="str">
        <f t="shared" si="67"/>
        <v/>
      </c>
      <c r="BG116" s="109" t="str">
        <f t="shared" si="68"/>
        <v/>
      </c>
      <c r="BH116" s="109" t="str">
        <f t="shared" si="69"/>
        <v/>
      </c>
      <c r="BI116" s="109" t="str">
        <f t="shared" si="70"/>
        <v/>
      </c>
      <c r="BJ116" s="109" t="e">
        <f t="shared" si="71"/>
        <v>#N/A</v>
      </c>
      <c r="BK116" s="96"/>
      <c r="BL116" s="96"/>
      <c r="BM116" s="96"/>
      <c r="BN116" s="96"/>
      <c r="BO116" s="96"/>
      <c r="BP116" s="96"/>
      <c r="BQ116" s="96"/>
      <c r="BR116" s="96"/>
    </row>
    <row r="117" spans="1:70" s="132" customFormat="1" ht="13.15" x14ac:dyDescent="0.4">
      <c r="A117" s="92"/>
      <c r="B117" s="88">
        <v>113</v>
      </c>
      <c r="C117" s="116" t="str">
        <f t="shared" si="74"/>
        <v/>
      </c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Z117" s="92"/>
      <c r="AA117" s="92"/>
      <c r="AB117" s="92"/>
      <c r="AC117" s="92"/>
      <c r="AD117" s="119">
        <v>113</v>
      </c>
      <c r="AE117" s="106">
        <f t="shared" si="75"/>
        <v>26</v>
      </c>
      <c r="AF117" s="130">
        <f t="shared" si="55"/>
        <v>10.33</v>
      </c>
      <c r="AG117" s="95">
        <f t="shared" si="62"/>
        <v>12</v>
      </c>
      <c r="AH117" s="95">
        <f t="shared" si="63"/>
        <v>10</v>
      </c>
      <c r="AI117" s="131">
        <f t="shared" si="72"/>
        <v>10.378785896192221</v>
      </c>
      <c r="AJ117" s="131">
        <f t="shared" si="72"/>
        <v>10.631214103807773</v>
      </c>
      <c r="AK117" s="131">
        <f t="shared" si="72"/>
        <v>10.252571792384446</v>
      </c>
      <c r="AL117" s="131">
        <f t="shared" si="72"/>
        <v>10.757428207615549</v>
      </c>
      <c r="AM117" s="131">
        <f t="shared" si="72"/>
        <v>10.12635768857667</v>
      </c>
      <c r="AN117" s="131">
        <f t="shared" si="72"/>
        <v>10.883642311423325</v>
      </c>
      <c r="AO117" s="131">
        <f t="shared" si="72"/>
        <v>10.504999999999997</v>
      </c>
      <c r="AP117" s="130"/>
      <c r="AQ117" s="95">
        <f t="shared" si="64"/>
        <v>0</v>
      </c>
      <c r="AR117" s="95">
        <f t="shared" si="65"/>
        <v>0</v>
      </c>
      <c r="BC117" s="94">
        <v>113</v>
      </c>
      <c r="BD117" s="108" t="e">
        <f t="shared" si="66"/>
        <v>#N/A</v>
      </c>
      <c r="BE117" s="94" t="str">
        <f t="shared" si="73"/>
        <v/>
      </c>
      <c r="BF117" s="109" t="str">
        <f t="shared" si="67"/>
        <v/>
      </c>
      <c r="BG117" s="109" t="str">
        <f t="shared" si="68"/>
        <v/>
      </c>
      <c r="BH117" s="109" t="str">
        <f t="shared" si="69"/>
        <v/>
      </c>
      <c r="BI117" s="109" t="str">
        <f t="shared" si="70"/>
        <v/>
      </c>
      <c r="BJ117" s="109" t="e">
        <f t="shared" si="71"/>
        <v>#N/A</v>
      </c>
      <c r="BK117" s="96"/>
      <c r="BL117" s="96"/>
      <c r="BM117" s="96"/>
      <c r="BN117" s="96"/>
      <c r="BO117" s="96"/>
      <c r="BP117" s="96"/>
      <c r="BQ117" s="96"/>
      <c r="BR117" s="96"/>
    </row>
    <row r="118" spans="1:70" s="132" customFormat="1" ht="13.15" x14ac:dyDescent="0.4">
      <c r="A118" s="92"/>
      <c r="B118" s="93">
        <v>114</v>
      </c>
      <c r="C118" s="116" t="str">
        <f t="shared" si="74"/>
        <v/>
      </c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Z118" s="92"/>
      <c r="AA118" s="92"/>
      <c r="AB118" s="92"/>
      <c r="AC118" s="92"/>
      <c r="AD118" s="119">
        <v>114</v>
      </c>
      <c r="AE118" s="106">
        <f t="shared" si="75"/>
        <v>26</v>
      </c>
      <c r="AF118" s="130">
        <f t="shared" si="55"/>
        <v>10.33</v>
      </c>
      <c r="AG118" s="95">
        <f t="shared" si="62"/>
        <v>12</v>
      </c>
      <c r="AH118" s="95">
        <f t="shared" si="63"/>
        <v>10</v>
      </c>
      <c r="AI118" s="131">
        <f t="shared" ref="AI118:AO133" si="76">AI117</f>
        <v>10.378785896192221</v>
      </c>
      <c r="AJ118" s="131">
        <f t="shared" si="76"/>
        <v>10.631214103807773</v>
      </c>
      <c r="AK118" s="131">
        <f t="shared" si="76"/>
        <v>10.252571792384446</v>
      </c>
      <c r="AL118" s="131">
        <f t="shared" si="76"/>
        <v>10.757428207615549</v>
      </c>
      <c r="AM118" s="131">
        <f t="shared" si="76"/>
        <v>10.12635768857667</v>
      </c>
      <c r="AN118" s="131">
        <f t="shared" si="76"/>
        <v>10.883642311423325</v>
      </c>
      <c r="AO118" s="131">
        <f t="shared" si="76"/>
        <v>10.504999999999997</v>
      </c>
      <c r="AP118" s="130"/>
      <c r="AQ118" s="95">
        <f t="shared" si="64"/>
        <v>0</v>
      </c>
      <c r="AR118" s="95">
        <f t="shared" si="65"/>
        <v>0</v>
      </c>
      <c r="BC118" s="94">
        <v>114</v>
      </c>
      <c r="BD118" s="108" t="e">
        <f t="shared" si="66"/>
        <v>#N/A</v>
      </c>
      <c r="BE118" s="94" t="str">
        <f t="shared" si="73"/>
        <v/>
      </c>
      <c r="BF118" s="109" t="str">
        <f t="shared" si="67"/>
        <v/>
      </c>
      <c r="BG118" s="109" t="str">
        <f t="shared" si="68"/>
        <v/>
      </c>
      <c r="BH118" s="109" t="str">
        <f t="shared" si="69"/>
        <v/>
      </c>
      <c r="BI118" s="109" t="str">
        <f t="shared" si="70"/>
        <v/>
      </c>
      <c r="BJ118" s="109" t="e">
        <f t="shared" si="71"/>
        <v>#N/A</v>
      </c>
      <c r="BK118" s="96"/>
      <c r="BL118" s="96"/>
      <c r="BM118" s="96"/>
      <c r="BN118" s="96"/>
      <c r="BO118" s="96"/>
      <c r="BP118" s="96"/>
      <c r="BQ118" s="96"/>
      <c r="BR118" s="96"/>
    </row>
    <row r="119" spans="1:70" s="132" customFormat="1" ht="13.15" x14ac:dyDescent="0.4">
      <c r="A119" s="92"/>
      <c r="B119" s="88">
        <v>115</v>
      </c>
      <c r="C119" s="116" t="str">
        <f t="shared" si="74"/>
        <v/>
      </c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119">
        <v>115</v>
      </c>
      <c r="AE119" s="106">
        <f t="shared" si="75"/>
        <v>26</v>
      </c>
      <c r="AF119" s="130">
        <f t="shared" si="55"/>
        <v>10.33</v>
      </c>
      <c r="AG119" s="95">
        <f t="shared" si="62"/>
        <v>12</v>
      </c>
      <c r="AH119" s="95">
        <f t="shared" si="63"/>
        <v>10</v>
      </c>
      <c r="AI119" s="131">
        <f t="shared" si="76"/>
        <v>10.378785896192221</v>
      </c>
      <c r="AJ119" s="131">
        <f t="shared" si="76"/>
        <v>10.631214103807773</v>
      </c>
      <c r="AK119" s="131">
        <f t="shared" si="76"/>
        <v>10.252571792384446</v>
      </c>
      <c r="AL119" s="131">
        <f t="shared" si="76"/>
        <v>10.757428207615549</v>
      </c>
      <c r="AM119" s="131">
        <f t="shared" si="76"/>
        <v>10.12635768857667</v>
      </c>
      <c r="AN119" s="131">
        <f t="shared" si="76"/>
        <v>10.883642311423325</v>
      </c>
      <c r="AO119" s="131">
        <f t="shared" si="76"/>
        <v>10.504999999999997</v>
      </c>
      <c r="AP119" s="130"/>
      <c r="AQ119" s="95">
        <f t="shared" si="64"/>
        <v>0</v>
      </c>
      <c r="AR119" s="95">
        <f t="shared" si="65"/>
        <v>0</v>
      </c>
      <c r="BC119" s="94">
        <v>115</v>
      </c>
      <c r="BD119" s="108" t="e">
        <f t="shared" si="66"/>
        <v>#N/A</v>
      </c>
      <c r="BE119" s="94" t="str">
        <f t="shared" si="73"/>
        <v/>
      </c>
      <c r="BF119" s="109" t="str">
        <f t="shared" si="67"/>
        <v/>
      </c>
      <c r="BG119" s="109" t="str">
        <f t="shared" si="68"/>
        <v/>
      </c>
      <c r="BH119" s="109" t="str">
        <f t="shared" si="69"/>
        <v/>
      </c>
      <c r="BI119" s="109" t="str">
        <f t="shared" si="70"/>
        <v/>
      </c>
      <c r="BJ119" s="109" t="e">
        <f t="shared" si="71"/>
        <v>#N/A</v>
      </c>
      <c r="BK119" s="96"/>
      <c r="BL119" s="96"/>
      <c r="BM119" s="96"/>
      <c r="BN119" s="96"/>
      <c r="BO119" s="96"/>
      <c r="BP119" s="96"/>
      <c r="BQ119" s="96"/>
      <c r="BR119" s="96"/>
    </row>
    <row r="120" spans="1:70" s="132" customFormat="1" ht="13.15" x14ac:dyDescent="0.4">
      <c r="A120" s="92"/>
      <c r="B120" s="93">
        <v>116</v>
      </c>
      <c r="C120" s="116" t="str">
        <f t="shared" si="74"/>
        <v/>
      </c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119">
        <v>116</v>
      </c>
      <c r="AE120" s="106">
        <f t="shared" si="75"/>
        <v>26</v>
      </c>
      <c r="AF120" s="130">
        <f t="shared" si="55"/>
        <v>10.33</v>
      </c>
      <c r="AG120" s="95">
        <f t="shared" si="62"/>
        <v>12</v>
      </c>
      <c r="AH120" s="95">
        <f t="shared" si="63"/>
        <v>10</v>
      </c>
      <c r="AI120" s="131">
        <f t="shared" si="76"/>
        <v>10.378785896192221</v>
      </c>
      <c r="AJ120" s="131">
        <f t="shared" si="76"/>
        <v>10.631214103807773</v>
      </c>
      <c r="AK120" s="131">
        <f t="shared" si="76"/>
        <v>10.252571792384446</v>
      </c>
      <c r="AL120" s="131">
        <f t="shared" si="76"/>
        <v>10.757428207615549</v>
      </c>
      <c r="AM120" s="131">
        <f t="shared" si="76"/>
        <v>10.12635768857667</v>
      </c>
      <c r="AN120" s="131">
        <f t="shared" si="76"/>
        <v>10.883642311423325</v>
      </c>
      <c r="AO120" s="131">
        <f t="shared" si="76"/>
        <v>10.504999999999997</v>
      </c>
      <c r="AP120" s="130"/>
      <c r="AQ120" s="95">
        <f t="shared" si="64"/>
        <v>0</v>
      </c>
      <c r="AR120" s="95">
        <f t="shared" si="65"/>
        <v>0</v>
      </c>
      <c r="BC120" s="94">
        <v>116</v>
      </c>
      <c r="BD120" s="108" t="e">
        <f t="shared" si="66"/>
        <v>#N/A</v>
      </c>
      <c r="BE120" s="94" t="str">
        <f t="shared" si="73"/>
        <v/>
      </c>
      <c r="BF120" s="109" t="str">
        <f t="shared" si="67"/>
        <v/>
      </c>
      <c r="BG120" s="109" t="str">
        <f t="shared" si="68"/>
        <v/>
      </c>
      <c r="BH120" s="109" t="str">
        <f t="shared" si="69"/>
        <v/>
      </c>
      <c r="BI120" s="109" t="str">
        <f t="shared" si="70"/>
        <v/>
      </c>
      <c r="BJ120" s="109" t="e">
        <f t="shared" si="71"/>
        <v>#N/A</v>
      </c>
      <c r="BK120" s="96"/>
      <c r="BL120" s="96"/>
      <c r="BM120" s="96"/>
      <c r="BN120" s="96"/>
      <c r="BO120" s="96"/>
      <c r="BP120" s="96"/>
      <c r="BQ120" s="96"/>
      <c r="BR120" s="96"/>
    </row>
    <row r="121" spans="1:70" s="132" customFormat="1" ht="13.15" x14ac:dyDescent="0.4">
      <c r="B121" s="88">
        <v>117</v>
      </c>
      <c r="C121" s="116" t="str">
        <f t="shared" si="74"/>
        <v/>
      </c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119">
        <v>117</v>
      </c>
      <c r="AE121" s="106">
        <f t="shared" si="75"/>
        <v>26</v>
      </c>
      <c r="AF121" s="130">
        <f t="shared" si="55"/>
        <v>10.33</v>
      </c>
      <c r="AG121" s="95">
        <f t="shared" si="62"/>
        <v>12</v>
      </c>
      <c r="AH121" s="95">
        <f t="shared" si="63"/>
        <v>10</v>
      </c>
      <c r="AI121" s="131">
        <f t="shared" si="76"/>
        <v>10.378785896192221</v>
      </c>
      <c r="AJ121" s="131">
        <f t="shared" si="76"/>
        <v>10.631214103807773</v>
      </c>
      <c r="AK121" s="131">
        <f t="shared" si="76"/>
        <v>10.252571792384446</v>
      </c>
      <c r="AL121" s="131">
        <f t="shared" si="76"/>
        <v>10.757428207615549</v>
      </c>
      <c r="AM121" s="131">
        <f t="shared" si="76"/>
        <v>10.12635768857667</v>
      </c>
      <c r="AN121" s="131">
        <f t="shared" si="76"/>
        <v>10.883642311423325</v>
      </c>
      <c r="AO121" s="131">
        <f t="shared" si="76"/>
        <v>10.504999999999997</v>
      </c>
      <c r="AP121" s="130"/>
      <c r="AQ121" s="95">
        <f t="shared" si="64"/>
        <v>0</v>
      </c>
      <c r="AR121" s="95">
        <f t="shared" si="65"/>
        <v>0</v>
      </c>
      <c r="BC121" s="94">
        <v>117</v>
      </c>
      <c r="BD121" s="108" t="e">
        <f t="shared" si="66"/>
        <v>#N/A</v>
      </c>
      <c r="BE121" s="94" t="str">
        <f t="shared" si="73"/>
        <v/>
      </c>
      <c r="BF121" s="109" t="str">
        <f t="shared" si="67"/>
        <v/>
      </c>
      <c r="BG121" s="109" t="str">
        <f t="shared" si="68"/>
        <v/>
      </c>
      <c r="BH121" s="109" t="str">
        <f t="shared" si="69"/>
        <v/>
      </c>
      <c r="BI121" s="109" t="str">
        <f t="shared" si="70"/>
        <v/>
      </c>
      <c r="BJ121" s="109" t="e">
        <f t="shared" si="71"/>
        <v>#N/A</v>
      </c>
      <c r="BK121" s="96"/>
      <c r="BL121" s="96"/>
      <c r="BM121" s="96"/>
      <c r="BN121" s="96"/>
      <c r="BO121" s="96"/>
      <c r="BP121" s="96"/>
      <c r="BQ121" s="96"/>
      <c r="BR121" s="96"/>
    </row>
    <row r="122" spans="1:70" s="132" customFormat="1" ht="13.15" x14ac:dyDescent="0.4">
      <c r="B122" s="93">
        <v>118</v>
      </c>
      <c r="C122" s="116" t="str">
        <f t="shared" si="74"/>
        <v/>
      </c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119">
        <v>118</v>
      </c>
      <c r="AE122" s="106">
        <f t="shared" si="75"/>
        <v>26</v>
      </c>
      <c r="AF122" s="130">
        <f t="shared" si="55"/>
        <v>10.33</v>
      </c>
      <c r="AG122" s="95">
        <f t="shared" si="62"/>
        <v>12</v>
      </c>
      <c r="AH122" s="95">
        <f t="shared" si="63"/>
        <v>10</v>
      </c>
      <c r="AI122" s="131">
        <f t="shared" si="76"/>
        <v>10.378785896192221</v>
      </c>
      <c r="AJ122" s="131">
        <f t="shared" si="76"/>
        <v>10.631214103807773</v>
      </c>
      <c r="AK122" s="131">
        <f t="shared" si="76"/>
        <v>10.252571792384446</v>
      </c>
      <c r="AL122" s="131">
        <f t="shared" si="76"/>
        <v>10.757428207615549</v>
      </c>
      <c r="AM122" s="131">
        <f t="shared" si="76"/>
        <v>10.12635768857667</v>
      </c>
      <c r="AN122" s="131">
        <f t="shared" si="76"/>
        <v>10.883642311423325</v>
      </c>
      <c r="AO122" s="131">
        <f t="shared" si="76"/>
        <v>10.504999999999997</v>
      </c>
      <c r="AP122" s="130"/>
      <c r="AQ122" s="95">
        <f t="shared" si="64"/>
        <v>0</v>
      </c>
      <c r="AR122" s="95">
        <f t="shared" si="65"/>
        <v>0</v>
      </c>
      <c r="BC122" s="94">
        <v>118</v>
      </c>
      <c r="BD122" s="108" t="e">
        <f t="shared" si="66"/>
        <v>#N/A</v>
      </c>
      <c r="BE122" s="94" t="str">
        <f t="shared" si="73"/>
        <v/>
      </c>
      <c r="BF122" s="109" t="str">
        <f t="shared" si="67"/>
        <v/>
      </c>
      <c r="BG122" s="109" t="str">
        <f t="shared" si="68"/>
        <v/>
      </c>
      <c r="BH122" s="109" t="str">
        <f t="shared" si="69"/>
        <v/>
      </c>
      <c r="BI122" s="109" t="str">
        <f t="shared" si="70"/>
        <v/>
      </c>
      <c r="BJ122" s="109" t="e">
        <f t="shared" si="71"/>
        <v>#N/A</v>
      </c>
      <c r="BK122" s="96"/>
      <c r="BL122" s="96"/>
      <c r="BM122" s="96"/>
      <c r="BN122" s="96"/>
      <c r="BO122" s="96"/>
      <c r="BP122" s="96"/>
      <c r="BQ122" s="96"/>
      <c r="BR122" s="96"/>
    </row>
    <row r="123" spans="1:70" s="132" customFormat="1" ht="13.15" x14ac:dyDescent="0.4">
      <c r="B123" s="88">
        <v>119</v>
      </c>
      <c r="C123" s="116" t="str">
        <f t="shared" si="74"/>
        <v/>
      </c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119">
        <v>119</v>
      </c>
      <c r="AE123" s="106">
        <f t="shared" si="75"/>
        <v>26</v>
      </c>
      <c r="AF123" s="130">
        <f t="shared" si="55"/>
        <v>10.33</v>
      </c>
      <c r="AG123" s="95">
        <f t="shared" si="62"/>
        <v>12</v>
      </c>
      <c r="AH123" s="95">
        <f t="shared" si="63"/>
        <v>10</v>
      </c>
      <c r="AI123" s="131">
        <f t="shared" si="76"/>
        <v>10.378785896192221</v>
      </c>
      <c r="AJ123" s="131">
        <f t="shared" si="76"/>
        <v>10.631214103807773</v>
      </c>
      <c r="AK123" s="131">
        <f t="shared" si="76"/>
        <v>10.252571792384446</v>
      </c>
      <c r="AL123" s="131">
        <f t="shared" si="76"/>
        <v>10.757428207615549</v>
      </c>
      <c r="AM123" s="131">
        <f t="shared" si="76"/>
        <v>10.12635768857667</v>
      </c>
      <c r="AN123" s="131">
        <f t="shared" si="76"/>
        <v>10.883642311423325</v>
      </c>
      <c r="AO123" s="131">
        <f t="shared" si="76"/>
        <v>10.504999999999997</v>
      </c>
      <c r="AP123" s="130"/>
      <c r="AQ123" s="95">
        <f t="shared" si="64"/>
        <v>0</v>
      </c>
      <c r="AR123" s="95">
        <f t="shared" si="65"/>
        <v>0</v>
      </c>
      <c r="BC123" s="94">
        <v>119</v>
      </c>
      <c r="BD123" s="108" t="e">
        <f t="shared" si="66"/>
        <v>#N/A</v>
      </c>
      <c r="BE123" s="94" t="str">
        <f t="shared" si="73"/>
        <v/>
      </c>
      <c r="BF123" s="109" t="str">
        <f t="shared" si="67"/>
        <v/>
      </c>
      <c r="BG123" s="109" t="str">
        <f t="shared" si="68"/>
        <v/>
      </c>
      <c r="BH123" s="109" t="str">
        <f t="shared" si="69"/>
        <v/>
      </c>
      <c r="BI123" s="109" t="str">
        <f t="shared" si="70"/>
        <v/>
      </c>
      <c r="BJ123" s="109" t="e">
        <f t="shared" si="71"/>
        <v>#N/A</v>
      </c>
      <c r="BK123" s="96"/>
      <c r="BL123" s="96"/>
      <c r="BM123" s="96"/>
      <c r="BN123" s="96"/>
      <c r="BO123" s="96"/>
      <c r="BP123" s="96"/>
      <c r="BQ123" s="96"/>
      <c r="BR123" s="96"/>
    </row>
    <row r="124" spans="1:70" s="132" customFormat="1" ht="13.15" x14ac:dyDescent="0.4">
      <c r="B124" s="93">
        <v>120</v>
      </c>
      <c r="C124" s="116" t="str">
        <f t="shared" si="74"/>
        <v/>
      </c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119">
        <v>120</v>
      </c>
      <c r="AE124" s="106">
        <f t="shared" si="75"/>
        <v>26</v>
      </c>
      <c r="AF124" s="130">
        <f t="shared" si="55"/>
        <v>10.33</v>
      </c>
      <c r="AG124" s="95">
        <f t="shared" si="62"/>
        <v>12</v>
      </c>
      <c r="AH124" s="95">
        <f t="shared" si="63"/>
        <v>10</v>
      </c>
      <c r="AI124" s="131">
        <f t="shared" si="76"/>
        <v>10.378785896192221</v>
      </c>
      <c r="AJ124" s="131">
        <f t="shared" si="76"/>
        <v>10.631214103807773</v>
      </c>
      <c r="AK124" s="131">
        <f t="shared" si="76"/>
        <v>10.252571792384446</v>
      </c>
      <c r="AL124" s="131">
        <f t="shared" si="76"/>
        <v>10.757428207615549</v>
      </c>
      <c r="AM124" s="131">
        <f t="shared" si="76"/>
        <v>10.12635768857667</v>
      </c>
      <c r="AN124" s="131">
        <f t="shared" si="76"/>
        <v>10.883642311423325</v>
      </c>
      <c r="AO124" s="131">
        <f t="shared" si="76"/>
        <v>10.504999999999997</v>
      </c>
      <c r="AP124" s="130"/>
      <c r="AQ124" s="95">
        <f t="shared" si="64"/>
        <v>0</v>
      </c>
      <c r="AR124" s="95">
        <f t="shared" si="65"/>
        <v>0</v>
      </c>
      <c r="BC124" s="94">
        <v>120</v>
      </c>
      <c r="BD124" s="108" t="e">
        <f t="shared" si="66"/>
        <v>#N/A</v>
      </c>
      <c r="BE124" s="94" t="str">
        <f t="shared" si="73"/>
        <v/>
      </c>
      <c r="BF124" s="109" t="str">
        <f t="shared" si="67"/>
        <v/>
      </c>
      <c r="BG124" s="109" t="str">
        <f t="shared" si="68"/>
        <v/>
      </c>
      <c r="BH124" s="109" t="str">
        <f t="shared" si="69"/>
        <v/>
      </c>
      <c r="BI124" s="109" t="str">
        <f t="shared" si="70"/>
        <v/>
      </c>
      <c r="BJ124" s="109" t="e">
        <f t="shared" si="71"/>
        <v>#N/A</v>
      </c>
      <c r="BK124" s="96"/>
      <c r="BL124" s="96"/>
      <c r="BM124" s="96"/>
      <c r="BN124" s="96"/>
      <c r="BO124" s="96"/>
      <c r="BP124" s="96"/>
      <c r="BQ124" s="96"/>
      <c r="BR124" s="96"/>
    </row>
    <row r="125" spans="1:70" s="132" customFormat="1" ht="13.15" x14ac:dyDescent="0.4">
      <c r="B125" s="88">
        <v>121</v>
      </c>
      <c r="C125" s="116" t="str">
        <f t="shared" si="74"/>
        <v/>
      </c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119">
        <v>121</v>
      </c>
      <c r="AE125" s="106">
        <f t="shared" si="75"/>
        <v>26</v>
      </c>
      <c r="AF125" s="130">
        <f t="shared" si="55"/>
        <v>10.33</v>
      </c>
      <c r="AG125" s="95">
        <f t="shared" si="62"/>
        <v>12</v>
      </c>
      <c r="AH125" s="95">
        <f t="shared" si="63"/>
        <v>10</v>
      </c>
      <c r="AI125" s="131">
        <f t="shared" si="76"/>
        <v>10.378785896192221</v>
      </c>
      <c r="AJ125" s="131">
        <f t="shared" si="76"/>
        <v>10.631214103807773</v>
      </c>
      <c r="AK125" s="131">
        <f t="shared" si="76"/>
        <v>10.252571792384446</v>
      </c>
      <c r="AL125" s="131">
        <f t="shared" si="76"/>
        <v>10.757428207615549</v>
      </c>
      <c r="AM125" s="131">
        <f t="shared" si="76"/>
        <v>10.12635768857667</v>
      </c>
      <c r="AN125" s="131">
        <f t="shared" si="76"/>
        <v>10.883642311423325</v>
      </c>
      <c r="AO125" s="131">
        <f t="shared" si="76"/>
        <v>10.504999999999997</v>
      </c>
      <c r="AP125" s="130"/>
      <c r="AQ125" s="95">
        <f t="shared" si="64"/>
        <v>0</v>
      </c>
      <c r="AR125" s="95">
        <f t="shared" si="65"/>
        <v>0</v>
      </c>
      <c r="BC125" s="94">
        <v>121</v>
      </c>
      <c r="BD125" s="108" t="e">
        <f t="shared" si="66"/>
        <v>#N/A</v>
      </c>
      <c r="BE125" s="94" t="str">
        <f t="shared" si="73"/>
        <v/>
      </c>
      <c r="BF125" s="109" t="str">
        <f t="shared" si="67"/>
        <v/>
      </c>
      <c r="BG125" s="109" t="str">
        <f t="shared" si="68"/>
        <v/>
      </c>
      <c r="BH125" s="109" t="str">
        <f t="shared" si="69"/>
        <v/>
      </c>
      <c r="BI125" s="109" t="str">
        <f t="shared" si="70"/>
        <v/>
      </c>
      <c r="BJ125" s="109" t="e">
        <f t="shared" si="71"/>
        <v>#N/A</v>
      </c>
      <c r="BK125" s="96"/>
      <c r="BL125" s="96"/>
      <c r="BM125" s="96"/>
      <c r="BN125" s="96"/>
      <c r="BO125" s="96"/>
      <c r="BP125" s="96"/>
      <c r="BQ125" s="96"/>
      <c r="BR125" s="96"/>
    </row>
    <row r="126" spans="1:70" s="132" customFormat="1" ht="13.15" x14ac:dyDescent="0.4">
      <c r="B126" s="93">
        <v>122</v>
      </c>
      <c r="C126" s="116" t="str">
        <f t="shared" si="74"/>
        <v/>
      </c>
      <c r="AD126" s="130">
        <v>122</v>
      </c>
      <c r="AE126" s="106">
        <f t="shared" si="75"/>
        <v>26</v>
      </c>
      <c r="AF126" s="130">
        <f t="shared" si="55"/>
        <v>10.33</v>
      </c>
      <c r="AG126" s="95">
        <f t="shared" si="62"/>
        <v>12</v>
      </c>
      <c r="AH126" s="95">
        <f t="shared" si="63"/>
        <v>10</v>
      </c>
      <c r="AI126" s="131">
        <f t="shared" si="76"/>
        <v>10.378785896192221</v>
      </c>
      <c r="AJ126" s="131">
        <f t="shared" si="76"/>
        <v>10.631214103807773</v>
      </c>
      <c r="AK126" s="131">
        <f t="shared" si="76"/>
        <v>10.252571792384446</v>
      </c>
      <c r="AL126" s="131">
        <f t="shared" si="76"/>
        <v>10.757428207615549</v>
      </c>
      <c r="AM126" s="131">
        <f t="shared" si="76"/>
        <v>10.12635768857667</v>
      </c>
      <c r="AN126" s="131">
        <f t="shared" si="76"/>
        <v>10.883642311423325</v>
      </c>
      <c r="AO126" s="131">
        <f t="shared" si="76"/>
        <v>10.504999999999997</v>
      </c>
      <c r="AP126" s="130"/>
      <c r="AQ126" s="95">
        <f t="shared" si="64"/>
        <v>0</v>
      </c>
      <c r="AR126" s="95">
        <f t="shared" si="65"/>
        <v>0</v>
      </c>
      <c r="BC126" s="94">
        <v>122</v>
      </c>
      <c r="BD126" s="108" t="e">
        <f t="shared" si="66"/>
        <v>#N/A</v>
      </c>
      <c r="BE126" s="94" t="str">
        <f t="shared" si="73"/>
        <v/>
      </c>
      <c r="BF126" s="109" t="str">
        <f t="shared" si="67"/>
        <v/>
      </c>
      <c r="BG126" s="109" t="str">
        <f t="shared" si="68"/>
        <v/>
      </c>
      <c r="BH126" s="109" t="str">
        <f t="shared" si="69"/>
        <v/>
      </c>
      <c r="BI126" s="109" t="str">
        <f t="shared" si="70"/>
        <v/>
      </c>
      <c r="BJ126" s="109" t="e">
        <f t="shared" si="71"/>
        <v>#N/A</v>
      </c>
      <c r="BK126" s="96"/>
      <c r="BL126" s="96"/>
      <c r="BM126" s="96"/>
      <c r="BN126" s="96"/>
      <c r="BO126" s="96"/>
      <c r="BP126" s="96"/>
      <c r="BQ126" s="96"/>
      <c r="BR126" s="96"/>
    </row>
    <row r="127" spans="1:70" s="132" customFormat="1" ht="13.15" x14ac:dyDescent="0.4">
      <c r="B127" s="88">
        <v>123</v>
      </c>
      <c r="C127" s="116" t="str">
        <f t="shared" si="74"/>
        <v/>
      </c>
      <c r="AD127" s="130">
        <v>123</v>
      </c>
      <c r="AE127" s="106">
        <f t="shared" si="75"/>
        <v>26</v>
      </c>
      <c r="AF127" s="130">
        <f t="shared" si="55"/>
        <v>10.33</v>
      </c>
      <c r="AG127" s="95">
        <f t="shared" si="62"/>
        <v>12</v>
      </c>
      <c r="AH127" s="95">
        <f t="shared" si="63"/>
        <v>10</v>
      </c>
      <c r="AI127" s="131">
        <f t="shared" si="76"/>
        <v>10.378785896192221</v>
      </c>
      <c r="AJ127" s="131">
        <f t="shared" si="76"/>
        <v>10.631214103807773</v>
      </c>
      <c r="AK127" s="131">
        <f t="shared" si="76"/>
        <v>10.252571792384446</v>
      </c>
      <c r="AL127" s="131">
        <f t="shared" si="76"/>
        <v>10.757428207615549</v>
      </c>
      <c r="AM127" s="131">
        <f t="shared" si="76"/>
        <v>10.12635768857667</v>
      </c>
      <c r="AN127" s="131">
        <f t="shared" si="76"/>
        <v>10.883642311423325</v>
      </c>
      <c r="AO127" s="131">
        <f t="shared" si="76"/>
        <v>10.504999999999997</v>
      </c>
      <c r="AP127" s="130"/>
      <c r="AQ127" s="95">
        <f t="shared" si="64"/>
        <v>0</v>
      </c>
      <c r="AR127" s="95">
        <f t="shared" si="65"/>
        <v>0</v>
      </c>
      <c r="BC127" s="94">
        <v>123</v>
      </c>
      <c r="BD127" s="108" t="e">
        <f t="shared" si="66"/>
        <v>#N/A</v>
      </c>
      <c r="BE127" s="94" t="str">
        <f t="shared" si="73"/>
        <v/>
      </c>
      <c r="BF127" s="109" t="str">
        <f t="shared" si="67"/>
        <v/>
      </c>
      <c r="BG127" s="109" t="str">
        <f t="shared" si="68"/>
        <v/>
      </c>
      <c r="BH127" s="109" t="str">
        <f t="shared" si="69"/>
        <v/>
      </c>
      <c r="BI127" s="109" t="str">
        <f t="shared" si="70"/>
        <v/>
      </c>
      <c r="BJ127" s="109" t="e">
        <f t="shared" si="71"/>
        <v>#N/A</v>
      </c>
      <c r="BK127" s="96"/>
      <c r="BL127" s="96"/>
      <c r="BM127" s="96"/>
      <c r="BN127" s="96"/>
      <c r="BO127" s="96"/>
      <c r="BP127" s="96"/>
      <c r="BQ127" s="96"/>
      <c r="BR127" s="96"/>
    </row>
    <row r="128" spans="1:70" s="132" customFormat="1" ht="13.15" x14ac:dyDescent="0.4">
      <c r="B128" s="93">
        <v>124</v>
      </c>
      <c r="C128" s="116" t="str">
        <f t="shared" si="74"/>
        <v/>
      </c>
      <c r="AD128" s="130">
        <v>124</v>
      </c>
      <c r="AE128" s="106">
        <f t="shared" si="75"/>
        <v>26</v>
      </c>
      <c r="AF128" s="130">
        <f t="shared" si="55"/>
        <v>10.33</v>
      </c>
      <c r="AG128" s="95">
        <f t="shared" si="62"/>
        <v>12</v>
      </c>
      <c r="AH128" s="95">
        <f t="shared" si="63"/>
        <v>10</v>
      </c>
      <c r="AI128" s="131">
        <f t="shared" si="76"/>
        <v>10.378785896192221</v>
      </c>
      <c r="AJ128" s="131">
        <f t="shared" si="76"/>
        <v>10.631214103807773</v>
      </c>
      <c r="AK128" s="131">
        <f t="shared" si="76"/>
        <v>10.252571792384446</v>
      </c>
      <c r="AL128" s="131">
        <f t="shared" si="76"/>
        <v>10.757428207615549</v>
      </c>
      <c r="AM128" s="131">
        <f t="shared" si="76"/>
        <v>10.12635768857667</v>
      </c>
      <c r="AN128" s="131">
        <f t="shared" si="76"/>
        <v>10.883642311423325</v>
      </c>
      <c r="AO128" s="131">
        <f t="shared" si="76"/>
        <v>10.504999999999997</v>
      </c>
      <c r="AP128" s="130"/>
      <c r="AQ128" s="95">
        <f t="shared" si="64"/>
        <v>0</v>
      </c>
      <c r="AR128" s="95">
        <f t="shared" si="65"/>
        <v>0</v>
      </c>
      <c r="BC128" s="94">
        <v>124</v>
      </c>
      <c r="BD128" s="108" t="e">
        <f t="shared" si="66"/>
        <v>#N/A</v>
      </c>
      <c r="BE128" s="94" t="str">
        <f t="shared" si="73"/>
        <v/>
      </c>
      <c r="BF128" s="109" t="str">
        <f t="shared" si="67"/>
        <v/>
      </c>
      <c r="BG128" s="109" t="str">
        <f t="shared" si="68"/>
        <v/>
      </c>
      <c r="BH128" s="109" t="str">
        <f t="shared" si="69"/>
        <v/>
      </c>
      <c r="BI128" s="109" t="str">
        <f t="shared" si="70"/>
        <v/>
      </c>
      <c r="BJ128" s="109" t="e">
        <f t="shared" si="71"/>
        <v>#N/A</v>
      </c>
      <c r="BK128" s="96"/>
      <c r="BL128" s="96"/>
      <c r="BM128" s="96"/>
      <c r="BN128" s="96"/>
      <c r="BO128" s="96"/>
      <c r="BP128" s="96"/>
      <c r="BQ128" s="96"/>
      <c r="BR128" s="96"/>
    </row>
    <row r="129" spans="2:70" s="132" customFormat="1" ht="13.15" x14ac:dyDescent="0.4">
      <c r="B129" s="88">
        <v>125</v>
      </c>
      <c r="C129" s="116" t="str">
        <f t="shared" si="74"/>
        <v/>
      </c>
      <c r="AD129" s="130">
        <v>125</v>
      </c>
      <c r="AE129" s="106">
        <f t="shared" si="75"/>
        <v>26</v>
      </c>
      <c r="AF129" s="130">
        <f t="shared" si="55"/>
        <v>10.33</v>
      </c>
      <c r="AG129" s="95">
        <f t="shared" si="62"/>
        <v>12</v>
      </c>
      <c r="AH129" s="95">
        <f t="shared" si="63"/>
        <v>10</v>
      </c>
      <c r="AI129" s="131">
        <f t="shared" si="76"/>
        <v>10.378785896192221</v>
      </c>
      <c r="AJ129" s="131">
        <f t="shared" si="76"/>
        <v>10.631214103807773</v>
      </c>
      <c r="AK129" s="131">
        <f t="shared" si="76"/>
        <v>10.252571792384446</v>
      </c>
      <c r="AL129" s="131">
        <f t="shared" si="76"/>
        <v>10.757428207615549</v>
      </c>
      <c r="AM129" s="131">
        <f t="shared" si="76"/>
        <v>10.12635768857667</v>
      </c>
      <c r="AN129" s="131">
        <f t="shared" si="76"/>
        <v>10.883642311423325</v>
      </c>
      <c r="AO129" s="131">
        <f t="shared" si="76"/>
        <v>10.504999999999997</v>
      </c>
      <c r="AP129" s="130"/>
      <c r="AQ129" s="95">
        <f t="shared" si="64"/>
        <v>0</v>
      </c>
      <c r="AR129" s="95">
        <f t="shared" si="65"/>
        <v>0</v>
      </c>
      <c r="BC129" s="94">
        <v>125</v>
      </c>
      <c r="BD129" s="108" t="e">
        <f t="shared" si="66"/>
        <v>#N/A</v>
      </c>
      <c r="BE129" s="94" t="str">
        <f t="shared" si="73"/>
        <v/>
      </c>
      <c r="BF129" s="109" t="str">
        <f t="shared" si="67"/>
        <v/>
      </c>
      <c r="BG129" s="109" t="str">
        <f t="shared" si="68"/>
        <v/>
      </c>
      <c r="BH129" s="109" t="str">
        <f t="shared" si="69"/>
        <v/>
      </c>
      <c r="BI129" s="109" t="str">
        <f t="shared" si="70"/>
        <v/>
      </c>
      <c r="BJ129" s="109" t="e">
        <f t="shared" si="71"/>
        <v>#N/A</v>
      </c>
      <c r="BK129" s="96"/>
      <c r="BL129" s="96"/>
      <c r="BM129" s="96"/>
      <c r="BN129" s="96"/>
      <c r="BO129" s="96"/>
      <c r="BP129" s="96"/>
      <c r="BQ129" s="96"/>
      <c r="BR129" s="96"/>
    </row>
    <row r="130" spans="2:70" s="132" customFormat="1" ht="13.15" x14ac:dyDescent="0.4">
      <c r="B130" s="93">
        <v>126</v>
      </c>
      <c r="C130" s="116" t="str">
        <f t="shared" si="74"/>
        <v/>
      </c>
      <c r="AD130" s="130">
        <v>126</v>
      </c>
      <c r="AE130" s="106">
        <f t="shared" si="75"/>
        <v>26</v>
      </c>
      <c r="AF130" s="130">
        <f t="shared" si="55"/>
        <v>10.33</v>
      </c>
      <c r="AG130" s="95">
        <f t="shared" si="62"/>
        <v>12</v>
      </c>
      <c r="AH130" s="95">
        <f t="shared" si="63"/>
        <v>10</v>
      </c>
      <c r="AI130" s="131">
        <f t="shared" si="76"/>
        <v>10.378785896192221</v>
      </c>
      <c r="AJ130" s="131">
        <f t="shared" si="76"/>
        <v>10.631214103807773</v>
      </c>
      <c r="AK130" s="131">
        <f t="shared" si="76"/>
        <v>10.252571792384446</v>
      </c>
      <c r="AL130" s="131">
        <f t="shared" si="76"/>
        <v>10.757428207615549</v>
      </c>
      <c r="AM130" s="131">
        <f t="shared" si="76"/>
        <v>10.12635768857667</v>
      </c>
      <c r="AN130" s="131">
        <f t="shared" si="76"/>
        <v>10.883642311423325</v>
      </c>
      <c r="AO130" s="131">
        <f t="shared" si="76"/>
        <v>10.504999999999997</v>
      </c>
      <c r="AP130" s="130"/>
      <c r="AQ130" s="95">
        <f t="shared" si="64"/>
        <v>0</v>
      </c>
      <c r="AR130" s="95">
        <f t="shared" si="65"/>
        <v>0</v>
      </c>
      <c r="BC130" s="94">
        <v>126</v>
      </c>
      <c r="BD130" s="108" t="e">
        <f t="shared" si="66"/>
        <v>#N/A</v>
      </c>
      <c r="BE130" s="94" t="str">
        <f t="shared" si="73"/>
        <v/>
      </c>
      <c r="BF130" s="109" t="str">
        <f t="shared" si="67"/>
        <v/>
      </c>
      <c r="BG130" s="109" t="str">
        <f t="shared" si="68"/>
        <v/>
      </c>
      <c r="BH130" s="109" t="str">
        <f t="shared" si="69"/>
        <v/>
      </c>
      <c r="BI130" s="109" t="str">
        <f t="shared" si="70"/>
        <v/>
      </c>
      <c r="BJ130" s="109" t="e">
        <f t="shared" si="71"/>
        <v>#N/A</v>
      </c>
      <c r="BK130" s="96"/>
      <c r="BL130" s="96"/>
      <c r="BM130" s="96"/>
      <c r="BN130" s="96"/>
      <c r="BO130" s="96"/>
      <c r="BP130" s="96"/>
      <c r="BQ130" s="96"/>
      <c r="BR130" s="96"/>
    </row>
    <row r="131" spans="2:70" s="132" customFormat="1" ht="13.15" x14ac:dyDescent="0.4">
      <c r="B131" s="88">
        <v>127</v>
      </c>
      <c r="C131" s="116" t="str">
        <f t="shared" si="74"/>
        <v/>
      </c>
      <c r="AD131" s="130">
        <v>127</v>
      </c>
      <c r="AE131" s="106">
        <f t="shared" si="75"/>
        <v>26</v>
      </c>
      <c r="AF131" s="130">
        <f t="shared" si="55"/>
        <v>10.33</v>
      </c>
      <c r="AG131" s="95">
        <f t="shared" si="62"/>
        <v>12</v>
      </c>
      <c r="AH131" s="95">
        <f t="shared" si="63"/>
        <v>10</v>
      </c>
      <c r="AI131" s="131">
        <f t="shared" si="76"/>
        <v>10.378785896192221</v>
      </c>
      <c r="AJ131" s="131">
        <f t="shared" si="76"/>
        <v>10.631214103807773</v>
      </c>
      <c r="AK131" s="131">
        <f t="shared" si="76"/>
        <v>10.252571792384446</v>
      </c>
      <c r="AL131" s="131">
        <f t="shared" si="76"/>
        <v>10.757428207615549</v>
      </c>
      <c r="AM131" s="131">
        <f t="shared" si="76"/>
        <v>10.12635768857667</v>
      </c>
      <c r="AN131" s="131">
        <f t="shared" si="76"/>
        <v>10.883642311423325</v>
      </c>
      <c r="AO131" s="131">
        <f t="shared" si="76"/>
        <v>10.504999999999997</v>
      </c>
      <c r="AP131" s="130"/>
      <c r="AQ131" s="95">
        <f t="shared" si="64"/>
        <v>0</v>
      </c>
      <c r="AR131" s="95">
        <f t="shared" si="65"/>
        <v>0</v>
      </c>
      <c r="BC131" s="94">
        <v>127</v>
      </c>
      <c r="BD131" s="108" t="e">
        <f t="shared" si="66"/>
        <v>#N/A</v>
      </c>
      <c r="BE131" s="94" t="str">
        <f t="shared" si="73"/>
        <v/>
      </c>
      <c r="BF131" s="109" t="str">
        <f t="shared" si="67"/>
        <v/>
      </c>
      <c r="BG131" s="109" t="str">
        <f t="shared" si="68"/>
        <v/>
      </c>
      <c r="BH131" s="109" t="str">
        <f t="shared" si="69"/>
        <v/>
      </c>
      <c r="BI131" s="109" t="str">
        <f t="shared" si="70"/>
        <v/>
      </c>
      <c r="BJ131" s="109" t="e">
        <f t="shared" si="71"/>
        <v>#N/A</v>
      </c>
      <c r="BK131" s="96"/>
      <c r="BL131" s="96"/>
      <c r="BM131" s="96"/>
      <c r="BN131" s="96"/>
      <c r="BO131" s="96"/>
      <c r="BP131" s="96"/>
      <c r="BQ131" s="96"/>
      <c r="BR131" s="96"/>
    </row>
    <row r="132" spans="2:70" s="132" customFormat="1" ht="13.15" x14ac:dyDescent="0.4">
      <c r="B132" s="93">
        <v>128</v>
      </c>
      <c r="C132" s="116" t="str">
        <f t="shared" si="74"/>
        <v/>
      </c>
      <c r="AD132" s="130">
        <v>128</v>
      </c>
      <c r="AE132" s="106">
        <f t="shared" si="75"/>
        <v>26</v>
      </c>
      <c r="AF132" s="130">
        <f t="shared" si="55"/>
        <v>10.33</v>
      </c>
      <c r="AG132" s="95">
        <f t="shared" si="62"/>
        <v>12</v>
      </c>
      <c r="AH132" s="95">
        <f t="shared" si="63"/>
        <v>10</v>
      </c>
      <c r="AI132" s="131">
        <f t="shared" si="76"/>
        <v>10.378785896192221</v>
      </c>
      <c r="AJ132" s="131">
        <f t="shared" si="76"/>
        <v>10.631214103807773</v>
      </c>
      <c r="AK132" s="131">
        <f t="shared" si="76"/>
        <v>10.252571792384446</v>
      </c>
      <c r="AL132" s="131">
        <f t="shared" si="76"/>
        <v>10.757428207615549</v>
      </c>
      <c r="AM132" s="131">
        <f t="shared" si="76"/>
        <v>10.12635768857667</v>
      </c>
      <c r="AN132" s="131">
        <f t="shared" si="76"/>
        <v>10.883642311423325</v>
      </c>
      <c r="AO132" s="131">
        <f t="shared" si="76"/>
        <v>10.504999999999997</v>
      </c>
      <c r="AP132" s="130"/>
      <c r="AQ132" s="95">
        <f t="shared" si="64"/>
        <v>0</v>
      </c>
      <c r="AR132" s="95">
        <f t="shared" si="65"/>
        <v>0</v>
      </c>
      <c r="BC132" s="94">
        <v>128</v>
      </c>
      <c r="BD132" s="108" t="e">
        <f t="shared" si="66"/>
        <v>#N/A</v>
      </c>
      <c r="BE132" s="94" t="str">
        <f t="shared" si="73"/>
        <v/>
      </c>
      <c r="BF132" s="109" t="str">
        <f t="shared" si="67"/>
        <v/>
      </c>
      <c r="BG132" s="109" t="str">
        <f t="shared" si="68"/>
        <v/>
      </c>
      <c r="BH132" s="109" t="str">
        <f t="shared" si="69"/>
        <v/>
      </c>
      <c r="BI132" s="109" t="str">
        <f t="shared" si="70"/>
        <v/>
      </c>
      <c r="BJ132" s="109" t="e">
        <f t="shared" si="71"/>
        <v>#N/A</v>
      </c>
      <c r="BK132" s="96"/>
      <c r="BL132" s="96"/>
      <c r="BM132" s="96"/>
      <c r="BN132" s="96"/>
      <c r="BO132" s="96"/>
      <c r="BP132" s="96"/>
      <c r="BQ132" s="96"/>
      <c r="BR132" s="96"/>
    </row>
    <row r="133" spans="2:70" s="132" customFormat="1" ht="13.15" x14ac:dyDescent="0.4">
      <c r="B133" s="88">
        <v>129</v>
      </c>
      <c r="C133" s="116" t="str">
        <f t="shared" si="74"/>
        <v/>
      </c>
      <c r="AD133" s="130">
        <v>129</v>
      </c>
      <c r="AE133" s="106">
        <f t="shared" si="75"/>
        <v>26</v>
      </c>
      <c r="AF133" s="130">
        <f t="shared" si="55"/>
        <v>10.33</v>
      </c>
      <c r="AG133" s="95">
        <f t="shared" ref="AG133:AG164" si="77">IF(C133&lt;&gt;"",OGW,AG132)</f>
        <v>12</v>
      </c>
      <c r="AH133" s="95">
        <f t="shared" ref="AH133:AH164" si="78">IF(C133&lt;&gt;"",UGW,AH132)</f>
        <v>10</v>
      </c>
      <c r="AI133" s="131">
        <f t="shared" si="76"/>
        <v>10.378785896192221</v>
      </c>
      <c r="AJ133" s="131">
        <f t="shared" si="76"/>
        <v>10.631214103807773</v>
      </c>
      <c r="AK133" s="131">
        <f t="shared" si="76"/>
        <v>10.252571792384446</v>
      </c>
      <c r="AL133" s="131">
        <f t="shared" si="76"/>
        <v>10.757428207615549</v>
      </c>
      <c r="AM133" s="131">
        <f t="shared" si="76"/>
        <v>10.12635768857667</v>
      </c>
      <c r="AN133" s="131">
        <f t="shared" si="76"/>
        <v>10.883642311423325</v>
      </c>
      <c r="AO133" s="131">
        <f t="shared" si="76"/>
        <v>10.504999999999997</v>
      </c>
      <c r="AP133" s="130"/>
      <c r="AQ133" s="95">
        <f t="shared" ref="AQ133:AQ164" si="79">IF(AND(C133&lt;&gt;"",C133&lt;UGW),1,0)</f>
        <v>0</v>
      </c>
      <c r="AR133" s="95">
        <f t="shared" ref="AR133:AR164" si="80">IF(AND(C133&lt;&gt;"",C133&gt;OGW),1,0)</f>
        <v>0</v>
      </c>
      <c r="BC133" s="94">
        <v>129</v>
      </c>
      <c r="BD133" s="108" t="e">
        <f t="shared" ref="BD133:BD164" si="81">IF(C133="",NA(),SMALL(xi,BE133))</f>
        <v>#N/A</v>
      </c>
      <c r="BE133" s="94" t="str">
        <f t="shared" si="73"/>
        <v/>
      </c>
      <c r="BF133" s="109" t="str">
        <f t="shared" ref="BF133:BF164" si="82">IF(C133="","",NORMSDIST((BD133-Mittelwert)/Standardabweichung))</f>
        <v/>
      </c>
      <c r="BG133" s="109" t="str">
        <f t="shared" ref="BG133:BG164" si="83">IF(C133="","",1-BF133)</f>
        <v/>
      </c>
      <c r="BH133" s="109" t="str">
        <f t="shared" ref="BH133:BH164" si="84">IF(C133="","",SMALL(BG,BE133))</f>
        <v/>
      </c>
      <c r="BI133" s="109" t="str">
        <f t="shared" ref="BI133:BI164" si="85">IF(C133="","",(2*BE133-1)*(LN(BH133)+LN(BF133)))</f>
        <v/>
      </c>
      <c r="BJ133" s="109" t="e">
        <f t="shared" ref="BJ133:BJ164" si="86">IF(C133="",NA(),NORMSINV((BE133-0.3)/(Anzahl+0.4)))</f>
        <v>#N/A</v>
      </c>
      <c r="BK133" s="96"/>
      <c r="BL133" s="96"/>
      <c r="BM133" s="96"/>
      <c r="BN133" s="96"/>
      <c r="BO133" s="96"/>
      <c r="BP133" s="96"/>
      <c r="BQ133" s="96"/>
      <c r="BR133" s="96"/>
    </row>
    <row r="134" spans="2:70" s="132" customFormat="1" ht="13.15" x14ac:dyDescent="0.4">
      <c r="B134" s="93">
        <v>130</v>
      </c>
      <c r="C134" s="116" t="str">
        <f t="shared" si="74"/>
        <v/>
      </c>
      <c r="AD134" s="130">
        <v>130</v>
      </c>
      <c r="AE134" s="106">
        <f t="shared" si="75"/>
        <v>26</v>
      </c>
      <c r="AF134" s="130">
        <f t="shared" si="55"/>
        <v>10.33</v>
      </c>
      <c r="AG134" s="95">
        <f t="shared" si="77"/>
        <v>12</v>
      </c>
      <c r="AH134" s="95">
        <f t="shared" si="78"/>
        <v>10</v>
      </c>
      <c r="AI134" s="131">
        <f t="shared" ref="AI134:AO149" si="87">AI133</f>
        <v>10.378785896192221</v>
      </c>
      <c r="AJ134" s="131">
        <f t="shared" si="87"/>
        <v>10.631214103807773</v>
      </c>
      <c r="AK134" s="131">
        <f t="shared" si="87"/>
        <v>10.252571792384446</v>
      </c>
      <c r="AL134" s="131">
        <f t="shared" si="87"/>
        <v>10.757428207615549</v>
      </c>
      <c r="AM134" s="131">
        <f t="shared" si="87"/>
        <v>10.12635768857667</v>
      </c>
      <c r="AN134" s="131">
        <f t="shared" si="87"/>
        <v>10.883642311423325</v>
      </c>
      <c r="AO134" s="131">
        <f t="shared" si="87"/>
        <v>10.504999999999997</v>
      </c>
      <c r="AP134" s="130"/>
      <c r="AQ134" s="95">
        <f t="shared" si="79"/>
        <v>0</v>
      </c>
      <c r="AR134" s="95">
        <f t="shared" si="80"/>
        <v>0</v>
      </c>
      <c r="BC134" s="94">
        <v>130</v>
      </c>
      <c r="BD134" s="108" t="e">
        <f t="shared" si="81"/>
        <v>#N/A</v>
      </c>
      <c r="BE134" s="94" t="str">
        <f t="shared" ref="BE134:BE165" si="88">IF(C134="","",1+BE133)</f>
        <v/>
      </c>
      <c r="BF134" s="109" t="str">
        <f t="shared" si="82"/>
        <v/>
      </c>
      <c r="BG134" s="109" t="str">
        <f t="shared" si="83"/>
        <v/>
      </c>
      <c r="BH134" s="109" t="str">
        <f t="shared" si="84"/>
        <v/>
      </c>
      <c r="BI134" s="109" t="str">
        <f t="shared" si="85"/>
        <v/>
      </c>
      <c r="BJ134" s="109" t="e">
        <f t="shared" si="86"/>
        <v>#N/A</v>
      </c>
      <c r="BK134" s="96"/>
      <c r="BL134" s="96"/>
      <c r="BM134" s="96"/>
      <c r="BN134" s="96"/>
      <c r="BO134" s="96"/>
      <c r="BP134" s="96"/>
      <c r="BQ134" s="96"/>
      <c r="BR134" s="96"/>
    </row>
    <row r="135" spans="2:70" s="132" customFormat="1" ht="13.15" x14ac:dyDescent="0.4">
      <c r="B135" s="88">
        <v>131</v>
      </c>
      <c r="C135" s="116" t="str">
        <f t="shared" si="74"/>
        <v/>
      </c>
      <c r="AD135" s="130">
        <v>131</v>
      </c>
      <c r="AE135" s="106">
        <f t="shared" si="75"/>
        <v>26</v>
      </c>
      <c r="AF135" s="130">
        <f t="shared" si="55"/>
        <v>10.33</v>
      </c>
      <c r="AG135" s="95">
        <f t="shared" si="77"/>
        <v>12</v>
      </c>
      <c r="AH135" s="95">
        <f t="shared" si="78"/>
        <v>10</v>
      </c>
      <c r="AI135" s="131">
        <f t="shared" si="87"/>
        <v>10.378785896192221</v>
      </c>
      <c r="AJ135" s="131">
        <f t="shared" si="87"/>
        <v>10.631214103807773</v>
      </c>
      <c r="AK135" s="131">
        <f t="shared" si="87"/>
        <v>10.252571792384446</v>
      </c>
      <c r="AL135" s="131">
        <f t="shared" si="87"/>
        <v>10.757428207615549</v>
      </c>
      <c r="AM135" s="131">
        <f t="shared" si="87"/>
        <v>10.12635768857667</v>
      </c>
      <c r="AN135" s="131">
        <f t="shared" si="87"/>
        <v>10.883642311423325</v>
      </c>
      <c r="AO135" s="131">
        <f t="shared" si="87"/>
        <v>10.504999999999997</v>
      </c>
      <c r="AP135" s="130"/>
      <c r="AQ135" s="95">
        <f t="shared" si="79"/>
        <v>0</v>
      </c>
      <c r="AR135" s="95">
        <f t="shared" si="80"/>
        <v>0</v>
      </c>
      <c r="BC135" s="94">
        <v>131</v>
      </c>
      <c r="BD135" s="108" t="e">
        <f t="shared" si="81"/>
        <v>#N/A</v>
      </c>
      <c r="BE135" s="94" t="str">
        <f t="shared" si="88"/>
        <v/>
      </c>
      <c r="BF135" s="109" t="str">
        <f t="shared" si="82"/>
        <v/>
      </c>
      <c r="BG135" s="109" t="str">
        <f t="shared" si="83"/>
        <v/>
      </c>
      <c r="BH135" s="109" t="str">
        <f t="shared" si="84"/>
        <v/>
      </c>
      <c r="BI135" s="109" t="str">
        <f t="shared" si="85"/>
        <v/>
      </c>
      <c r="BJ135" s="109" t="e">
        <f t="shared" si="86"/>
        <v>#N/A</v>
      </c>
      <c r="BK135" s="96"/>
      <c r="BL135" s="96"/>
      <c r="BM135" s="96"/>
      <c r="BN135" s="96"/>
      <c r="BO135" s="96"/>
      <c r="BP135" s="96"/>
      <c r="BQ135" s="96"/>
      <c r="BR135" s="96"/>
    </row>
    <row r="136" spans="2:70" s="132" customFormat="1" ht="13.15" x14ac:dyDescent="0.4">
      <c r="B136" s="93">
        <v>132</v>
      </c>
      <c r="C136" s="116" t="str">
        <f t="shared" si="74"/>
        <v/>
      </c>
      <c r="AD136" s="130">
        <v>132</v>
      </c>
      <c r="AE136" s="106">
        <f t="shared" si="75"/>
        <v>26</v>
      </c>
      <c r="AF136" s="130">
        <f t="shared" ref="AF136:AF199" si="89">IF(C136&lt;&gt;"",C136,AF135)</f>
        <v>10.33</v>
      </c>
      <c r="AG136" s="95">
        <f t="shared" si="77"/>
        <v>12</v>
      </c>
      <c r="AH136" s="95">
        <f t="shared" si="78"/>
        <v>10</v>
      </c>
      <c r="AI136" s="131">
        <f t="shared" si="87"/>
        <v>10.378785896192221</v>
      </c>
      <c r="AJ136" s="131">
        <f t="shared" si="87"/>
        <v>10.631214103807773</v>
      </c>
      <c r="AK136" s="131">
        <f t="shared" si="87"/>
        <v>10.252571792384446</v>
      </c>
      <c r="AL136" s="131">
        <f t="shared" si="87"/>
        <v>10.757428207615549</v>
      </c>
      <c r="AM136" s="131">
        <f t="shared" si="87"/>
        <v>10.12635768857667</v>
      </c>
      <c r="AN136" s="131">
        <f t="shared" si="87"/>
        <v>10.883642311423325</v>
      </c>
      <c r="AO136" s="131">
        <f t="shared" si="87"/>
        <v>10.504999999999997</v>
      </c>
      <c r="AP136" s="130"/>
      <c r="AQ136" s="95">
        <f t="shared" si="79"/>
        <v>0</v>
      </c>
      <c r="AR136" s="95">
        <f t="shared" si="80"/>
        <v>0</v>
      </c>
      <c r="BC136" s="94">
        <v>132</v>
      </c>
      <c r="BD136" s="108" t="e">
        <f t="shared" si="81"/>
        <v>#N/A</v>
      </c>
      <c r="BE136" s="94" t="str">
        <f t="shared" si="88"/>
        <v/>
      </c>
      <c r="BF136" s="109" t="str">
        <f t="shared" si="82"/>
        <v/>
      </c>
      <c r="BG136" s="109" t="str">
        <f t="shared" si="83"/>
        <v/>
      </c>
      <c r="BH136" s="109" t="str">
        <f t="shared" si="84"/>
        <v/>
      </c>
      <c r="BI136" s="109" t="str">
        <f t="shared" si="85"/>
        <v/>
      </c>
      <c r="BJ136" s="109" t="e">
        <f t="shared" si="86"/>
        <v>#N/A</v>
      </c>
      <c r="BK136" s="96"/>
      <c r="BL136" s="96"/>
      <c r="BM136" s="96"/>
      <c r="BN136" s="96"/>
      <c r="BO136" s="96"/>
      <c r="BP136" s="96"/>
      <c r="BQ136" s="96"/>
      <c r="BR136" s="96"/>
    </row>
    <row r="137" spans="2:70" s="132" customFormat="1" ht="13.15" x14ac:dyDescent="0.4">
      <c r="B137" s="88">
        <v>133</v>
      </c>
      <c r="C137" s="116" t="str">
        <f t="shared" si="74"/>
        <v/>
      </c>
      <c r="AD137" s="130">
        <v>133</v>
      </c>
      <c r="AE137" s="106">
        <f t="shared" ref="AE137:AE168" si="90">IF((Anzahl&gt;AD137),AD137,Anzahl)</f>
        <v>26</v>
      </c>
      <c r="AF137" s="130">
        <f t="shared" si="89"/>
        <v>10.33</v>
      </c>
      <c r="AG137" s="95">
        <f t="shared" si="77"/>
        <v>12</v>
      </c>
      <c r="AH137" s="95">
        <f t="shared" si="78"/>
        <v>10</v>
      </c>
      <c r="AI137" s="131">
        <f t="shared" si="87"/>
        <v>10.378785896192221</v>
      </c>
      <c r="AJ137" s="131">
        <f t="shared" si="87"/>
        <v>10.631214103807773</v>
      </c>
      <c r="AK137" s="131">
        <f t="shared" si="87"/>
        <v>10.252571792384446</v>
      </c>
      <c r="AL137" s="131">
        <f t="shared" si="87"/>
        <v>10.757428207615549</v>
      </c>
      <c r="AM137" s="131">
        <f t="shared" si="87"/>
        <v>10.12635768857667</v>
      </c>
      <c r="AN137" s="131">
        <f t="shared" si="87"/>
        <v>10.883642311423325</v>
      </c>
      <c r="AO137" s="131">
        <f t="shared" si="87"/>
        <v>10.504999999999997</v>
      </c>
      <c r="AP137" s="130"/>
      <c r="AQ137" s="95">
        <f t="shared" si="79"/>
        <v>0</v>
      </c>
      <c r="AR137" s="95">
        <f t="shared" si="80"/>
        <v>0</v>
      </c>
      <c r="BC137" s="94">
        <v>133</v>
      </c>
      <c r="BD137" s="108" t="e">
        <f t="shared" si="81"/>
        <v>#N/A</v>
      </c>
      <c r="BE137" s="94" t="str">
        <f t="shared" si="88"/>
        <v/>
      </c>
      <c r="BF137" s="109" t="str">
        <f t="shared" si="82"/>
        <v/>
      </c>
      <c r="BG137" s="109" t="str">
        <f t="shared" si="83"/>
        <v/>
      </c>
      <c r="BH137" s="109" t="str">
        <f t="shared" si="84"/>
        <v/>
      </c>
      <c r="BI137" s="109" t="str">
        <f t="shared" si="85"/>
        <v/>
      </c>
      <c r="BJ137" s="109" t="e">
        <f t="shared" si="86"/>
        <v>#N/A</v>
      </c>
      <c r="BK137" s="96"/>
      <c r="BL137" s="96"/>
      <c r="BM137" s="96"/>
      <c r="BN137" s="96"/>
      <c r="BO137" s="96"/>
      <c r="BP137" s="96"/>
      <c r="BQ137" s="96"/>
      <c r="BR137" s="96"/>
    </row>
    <row r="138" spans="2:70" s="132" customFormat="1" ht="13.15" x14ac:dyDescent="0.4">
      <c r="B138" s="93">
        <v>134</v>
      </c>
      <c r="C138" s="116" t="str">
        <f t="shared" si="74"/>
        <v/>
      </c>
      <c r="Q138" s="92"/>
      <c r="AD138" s="130">
        <v>134</v>
      </c>
      <c r="AE138" s="106">
        <f t="shared" si="90"/>
        <v>26</v>
      </c>
      <c r="AF138" s="130">
        <f t="shared" si="89"/>
        <v>10.33</v>
      </c>
      <c r="AG138" s="95">
        <f t="shared" si="77"/>
        <v>12</v>
      </c>
      <c r="AH138" s="95">
        <f t="shared" si="78"/>
        <v>10</v>
      </c>
      <c r="AI138" s="131">
        <f t="shared" si="87"/>
        <v>10.378785896192221</v>
      </c>
      <c r="AJ138" s="131">
        <f t="shared" si="87"/>
        <v>10.631214103807773</v>
      </c>
      <c r="AK138" s="131">
        <f t="shared" si="87"/>
        <v>10.252571792384446</v>
      </c>
      <c r="AL138" s="131">
        <f t="shared" si="87"/>
        <v>10.757428207615549</v>
      </c>
      <c r="AM138" s="131">
        <f t="shared" si="87"/>
        <v>10.12635768857667</v>
      </c>
      <c r="AN138" s="131">
        <f t="shared" si="87"/>
        <v>10.883642311423325</v>
      </c>
      <c r="AO138" s="131">
        <f t="shared" si="87"/>
        <v>10.504999999999997</v>
      </c>
      <c r="AP138" s="130"/>
      <c r="AQ138" s="95">
        <f t="shared" si="79"/>
        <v>0</v>
      </c>
      <c r="AR138" s="95">
        <f t="shared" si="80"/>
        <v>0</v>
      </c>
      <c r="BC138" s="94">
        <v>134</v>
      </c>
      <c r="BD138" s="108" t="e">
        <f t="shared" si="81"/>
        <v>#N/A</v>
      </c>
      <c r="BE138" s="94" t="str">
        <f t="shared" si="88"/>
        <v/>
      </c>
      <c r="BF138" s="109" t="str">
        <f t="shared" si="82"/>
        <v/>
      </c>
      <c r="BG138" s="109" t="str">
        <f t="shared" si="83"/>
        <v/>
      </c>
      <c r="BH138" s="109" t="str">
        <f t="shared" si="84"/>
        <v/>
      </c>
      <c r="BI138" s="109" t="str">
        <f t="shared" si="85"/>
        <v/>
      </c>
      <c r="BJ138" s="109" t="e">
        <f t="shared" si="86"/>
        <v>#N/A</v>
      </c>
      <c r="BK138" s="96"/>
      <c r="BL138" s="96"/>
      <c r="BM138" s="96"/>
      <c r="BN138" s="96"/>
      <c r="BO138" s="96"/>
      <c r="BP138" s="96"/>
      <c r="BQ138" s="96"/>
      <c r="BR138" s="96"/>
    </row>
    <row r="139" spans="2:70" s="132" customFormat="1" ht="13.15" x14ac:dyDescent="0.4">
      <c r="B139" s="88">
        <v>135</v>
      </c>
      <c r="C139" s="116" t="str">
        <f t="shared" si="74"/>
        <v/>
      </c>
      <c r="AD139" s="130">
        <v>135</v>
      </c>
      <c r="AE139" s="106">
        <f t="shared" si="90"/>
        <v>26</v>
      </c>
      <c r="AF139" s="130">
        <f t="shared" si="89"/>
        <v>10.33</v>
      </c>
      <c r="AG139" s="95">
        <f t="shared" si="77"/>
        <v>12</v>
      </c>
      <c r="AH139" s="95">
        <f t="shared" si="78"/>
        <v>10</v>
      </c>
      <c r="AI139" s="131">
        <f t="shared" si="87"/>
        <v>10.378785896192221</v>
      </c>
      <c r="AJ139" s="131">
        <f t="shared" si="87"/>
        <v>10.631214103807773</v>
      </c>
      <c r="AK139" s="131">
        <f t="shared" si="87"/>
        <v>10.252571792384446</v>
      </c>
      <c r="AL139" s="131">
        <f t="shared" si="87"/>
        <v>10.757428207615549</v>
      </c>
      <c r="AM139" s="131">
        <f t="shared" si="87"/>
        <v>10.12635768857667</v>
      </c>
      <c r="AN139" s="131">
        <f t="shared" si="87"/>
        <v>10.883642311423325</v>
      </c>
      <c r="AO139" s="131">
        <f t="shared" si="87"/>
        <v>10.504999999999997</v>
      </c>
      <c r="AP139" s="130"/>
      <c r="AQ139" s="95">
        <f t="shared" si="79"/>
        <v>0</v>
      </c>
      <c r="AR139" s="95">
        <f t="shared" si="80"/>
        <v>0</v>
      </c>
      <c r="BC139" s="94">
        <v>135</v>
      </c>
      <c r="BD139" s="108" t="e">
        <f t="shared" si="81"/>
        <v>#N/A</v>
      </c>
      <c r="BE139" s="94" t="str">
        <f t="shared" si="88"/>
        <v/>
      </c>
      <c r="BF139" s="109" t="str">
        <f t="shared" si="82"/>
        <v/>
      </c>
      <c r="BG139" s="109" t="str">
        <f t="shared" si="83"/>
        <v/>
      </c>
      <c r="BH139" s="109" t="str">
        <f t="shared" si="84"/>
        <v/>
      </c>
      <c r="BI139" s="109" t="str">
        <f t="shared" si="85"/>
        <v/>
      </c>
      <c r="BJ139" s="109" t="e">
        <f t="shared" si="86"/>
        <v>#N/A</v>
      </c>
      <c r="BK139" s="96"/>
      <c r="BL139" s="96"/>
      <c r="BM139" s="96"/>
      <c r="BN139" s="96"/>
      <c r="BO139" s="96"/>
      <c r="BP139" s="96"/>
      <c r="BQ139" s="96"/>
      <c r="BR139" s="96"/>
    </row>
    <row r="140" spans="2:70" s="132" customFormat="1" ht="13.15" x14ac:dyDescent="0.4">
      <c r="B140" s="93">
        <v>136</v>
      </c>
      <c r="C140" s="116" t="str">
        <f t="shared" si="74"/>
        <v/>
      </c>
      <c r="AD140" s="130">
        <v>136</v>
      </c>
      <c r="AE140" s="106">
        <f t="shared" si="90"/>
        <v>26</v>
      </c>
      <c r="AF140" s="130">
        <f t="shared" si="89"/>
        <v>10.33</v>
      </c>
      <c r="AG140" s="95">
        <f t="shared" si="77"/>
        <v>12</v>
      </c>
      <c r="AH140" s="95">
        <f t="shared" si="78"/>
        <v>10</v>
      </c>
      <c r="AI140" s="131">
        <f t="shared" si="87"/>
        <v>10.378785896192221</v>
      </c>
      <c r="AJ140" s="131">
        <f t="shared" si="87"/>
        <v>10.631214103807773</v>
      </c>
      <c r="AK140" s="131">
        <f t="shared" si="87"/>
        <v>10.252571792384446</v>
      </c>
      <c r="AL140" s="131">
        <f t="shared" si="87"/>
        <v>10.757428207615549</v>
      </c>
      <c r="AM140" s="131">
        <f t="shared" si="87"/>
        <v>10.12635768857667</v>
      </c>
      <c r="AN140" s="131">
        <f t="shared" si="87"/>
        <v>10.883642311423325</v>
      </c>
      <c r="AO140" s="131">
        <f t="shared" si="87"/>
        <v>10.504999999999997</v>
      </c>
      <c r="AP140" s="130"/>
      <c r="AQ140" s="95">
        <f t="shared" si="79"/>
        <v>0</v>
      </c>
      <c r="AR140" s="95">
        <f t="shared" si="80"/>
        <v>0</v>
      </c>
      <c r="BC140" s="94">
        <v>136</v>
      </c>
      <c r="BD140" s="108" t="e">
        <f t="shared" si="81"/>
        <v>#N/A</v>
      </c>
      <c r="BE140" s="94" t="str">
        <f t="shared" si="88"/>
        <v/>
      </c>
      <c r="BF140" s="109" t="str">
        <f t="shared" si="82"/>
        <v/>
      </c>
      <c r="BG140" s="109" t="str">
        <f t="shared" si="83"/>
        <v/>
      </c>
      <c r="BH140" s="109" t="str">
        <f t="shared" si="84"/>
        <v/>
      </c>
      <c r="BI140" s="109" t="str">
        <f t="shared" si="85"/>
        <v/>
      </c>
      <c r="BJ140" s="109" t="e">
        <f t="shared" si="86"/>
        <v>#N/A</v>
      </c>
      <c r="BK140" s="96"/>
      <c r="BL140" s="96"/>
      <c r="BM140" s="96"/>
      <c r="BN140" s="96"/>
      <c r="BO140" s="96"/>
      <c r="BP140" s="96"/>
      <c r="BQ140" s="96"/>
      <c r="BR140" s="96"/>
    </row>
    <row r="141" spans="2:70" s="132" customFormat="1" ht="13.15" x14ac:dyDescent="0.4">
      <c r="B141" s="88">
        <v>137</v>
      </c>
      <c r="C141" s="116" t="str">
        <f t="shared" si="74"/>
        <v/>
      </c>
      <c r="AD141" s="130">
        <v>137</v>
      </c>
      <c r="AE141" s="106">
        <f t="shared" si="90"/>
        <v>26</v>
      </c>
      <c r="AF141" s="130">
        <f t="shared" si="89"/>
        <v>10.33</v>
      </c>
      <c r="AG141" s="95">
        <f t="shared" si="77"/>
        <v>12</v>
      </c>
      <c r="AH141" s="95">
        <f t="shared" si="78"/>
        <v>10</v>
      </c>
      <c r="AI141" s="131">
        <f t="shared" si="87"/>
        <v>10.378785896192221</v>
      </c>
      <c r="AJ141" s="131">
        <f t="shared" si="87"/>
        <v>10.631214103807773</v>
      </c>
      <c r="AK141" s="131">
        <f t="shared" si="87"/>
        <v>10.252571792384446</v>
      </c>
      <c r="AL141" s="131">
        <f t="shared" si="87"/>
        <v>10.757428207615549</v>
      </c>
      <c r="AM141" s="131">
        <f t="shared" si="87"/>
        <v>10.12635768857667</v>
      </c>
      <c r="AN141" s="131">
        <f t="shared" si="87"/>
        <v>10.883642311423325</v>
      </c>
      <c r="AO141" s="131">
        <f t="shared" si="87"/>
        <v>10.504999999999997</v>
      </c>
      <c r="AP141" s="130"/>
      <c r="AQ141" s="95">
        <f t="shared" si="79"/>
        <v>0</v>
      </c>
      <c r="AR141" s="95">
        <f t="shared" si="80"/>
        <v>0</v>
      </c>
      <c r="BC141" s="94">
        <v>137</v>
      </c>
      <c r="BD141" s="108" t="e">
        <f t="shared" si="81"/>
        <v>#N/A</v>
      </c>
      <c r="BE141" s="94" t="str">
        <f t="shared" si="88"/>
        <v/>
      </c>
      <c r="BF141" s="109" t="str">
        <f t="shared" si="82"/>
        <v/>
      </c>
      <c r="BG141" s="109" t="str">
        <f t="shared" si="83"/>
        <v/>
      </c>
      <c r="BH141" s="109" t="str">
        <f t="shared" si="84"/>
        <v/>
      </c>
      <c r="BI141" s="109" t="str">
        <f t="shared" si="85"/>
        <v/>
      </c>
      <c r="BJ141" s="109" t="e">
        <f t="shared" si="86"/>
        <v>#N/A</v>
      </c>
      <c r="BK141" s="96"/>
      <c r="BL141" s="96"/>
      <c r="BM141" s="96"/>
      <c r="BN141" s="96"/>
      <c r="BO141" s="96"/>
      <c r="BP141" s="96"/>
      <c r="BQ141" s="96"/>
      <c r="BR141" s="96"/>
    </row>
    <row r="142" spans="2:70" s="132" customFormat="1" ht="13.15" x14ac:dyDescent="0.4">
      <c r="B142" s="93">
        <v>138</v>
      </c>
      <c r="C142" s="116" t="str">
        <f t="shared" si="74"/>
        <v/>
      </c>
      <c r="AD142" s="130">
        <v>138</v>
      </c>
      <c r="AE142" s="106">
        <f t="shared" si="90"/>
        <v>26</v>
      </c>
      <c r="AF142" s="130">
        <f t="shared" si="89"/>
        <v>10.33</v>
      </c>
      <c r="AG142" s="95">
        <f t="shared" si="77"/>
        <v>12</v>
      </c>
      <c r="AH142" s="95">
        <f t="shared" si="78"/>
        <v>10</v>
      </c>
      <c r="AI142" s="131">
        <f t="shared" si="87"/>
        <v>10.378785896192221</v>
      </c>
      <c r="AJ142" s="131">
        <f t="shared" si="87"/>
        <v>10.631214103807773</v>
      </c>
      <c r="AK142" s="131">
        <f t="shared" si="87"/>
        <v>10.252571792384446</v>
      </c>
      <c r="AL142" s="131">
        <f t="shared" si="87"/>
        <v>10.757428207615549</v>
      </c>
      <c r="AM142" s="131">
        <f t="shared" si="87"/>
        <v>10.12635768857667</v>
      </c>
      <c r="AN142" s="131">
        <f t="shared" si="87"/>
        <v>10.883642311423325</v>
      </c>
      <c r="AO142" s="131">
        <f t="shared" si="87"/>
        <v>10.504999999999997</v>
      </c>
      <c r="AP142" s="130"/>
      <c r="AQ142" s="95">
        <f t="shared" si="79"/>
        <v>0</v>
      </c>
      <c r="AR142" s="95">
        <f t="shared" si="80"/>
        <v>0</v>
      </c>
      <c r="BC142" s="94">
        <v>138</v>
      </c>
      <c r="BD142" s="108" t="e">
        <f t="shared" si="81"/>
        <v>#N/A</v>
      </c>
      <c r="BE142" s="94" t="str">
        <f t="shared" si="88"/>
        <v/>
      </c>
      <c r="BF142" s="109" t="str">
        <f t="shared" si="82"/>
        <v/>
      </c>
      <c r="BG142" s="109" t="str">
        <f t="shared" si="83"/>
        <v/>
      </c>
      <c r="BH142" s="109" t="str">
        <f t="shared" si="84"/>
        <v/>
      </c>
      <c r="BI142" s="109" t="str">
        <f t="shared" si="85"/>
        <v/>
      </c>
      <c r="BJ142" s="109" t="e">
        <f t="shared" si="86"/>
        <v>#N/A</v>
      </c>
      <c r="BK142" s="96"/>
      <c r="BL142" s="96"/>
      <c r="BM142" s="96"/>
      <c r="BN142" s="96"/>
      <c r="BO142" s="96"/>
      <c r="BP142" s="96"/>
      <c r="BQ142" s="96"/>
      <c r="BR142" s="96"/>
    </row>
    <row r="143" spans="2:70" s="132" customFormat="1" ht="13.15" x14ac:dyDescent="0.4">
      <c r="B143" s="88">
        <v>139</v>
      </c>
      <c r="C143" s="116" t="str">
        <f t="shared" si="74"/>
        <v/>
      </c>
      <c r="AD143" s="130">
        <v>139</v>
      </c>
      <c r="AE143" s="106">
        <f t="shared" si="90"/>
        <v>26</v>
      </c>
      <c r="AF143" s="130">
        <f t="shared" si="89"/>
        <v>10.33</v>
      </c>
      <c r="AG143" s="95">
        <f t="shared" si="77"/>
        <v>12</v>
      </c>
      <c r="AH143" s="95">
        <f t="shared" si="78"/>
        <v>10</v>
      </c>
      <c r="AI143" s="131">
        <f t="shared" si="87"/>
        <v>10.378785896192221</v>
      </c>
      <c r="AJ143" s="131">
        <f t="shared" si="87"/>
        <v>10.631214103807773</v>
      </c>
      <c r="AK143" s="131">
        <f t="shared" si="87"/>
        <v>10.252571792384446</v>
      </c>
      <c r="AL143" s="131">
        <f t="shared" si="87"/>
        <v>10.757428207615549</v>
      </c>
      <c r="AM143" s="131">
        <f t="shared" si="87"/>
        <v>10.12635768857667</v>
      </c>
      <c r="AN143" s="131">
        <f t="shared" si="87"/>
        <v>10.883642311423325</v>
      </c>
      <c r="AO143" s="131">
        <f t="shared" si="87"/>
        <v>10.504999999999997</v>
      </c>
      <c r="AP143" s="130"/>
      <c r="AQ143" s="95">
        <f t="shared" si="79"/>
        <v>0</v>
      </c>
      <c r="AR143" s="95">
        <f t="shared" si="80"/>
        <v>0</v>
      </c>
      <c r="BC143" s="94">
        <v>139</v>
      </c>
      <c r="BD143" s="108" t="e">
        <f t="shared" si="81"/>
        <v>#N/A</v>
      </c>
      <c r="BE143" s="94" t="str">
        <f t="shared" si="88"/>
        <v/>
      </c>
      <c r="BF143" s="109" t="str">
        <f t="shared" si="82"/>
        <v/>
      </c>
      <c r="BG143" s="109" t="str">
        <f t="shared" si="83"/>
        <v/>
      </c>
      <c r="BH143" s="109" t="str">
        <f t="shared" si="84"/>
        <v/>
      </c>
      <c r="BI143" s="109" t="str">
        <f t="shared" si="85"/>
        <v/>
      </c>
      <c r="BJ143" s="109" t="e">
        <f t="shared" si="86"/>
        <v>#N/A</v>
      </c>
      <c r="BK143" s="96"/>
      <c r="BL143" s="96"/>
      <c r="BM143" s="96"/>
      <c r="BN143" s="96"/>
      <c r="BO143" s="96"/>
      <c r="BP143" s="96"/>
      <c r="BQ143" s="96"/>
      <c r="BR143" s="96"/>
    </row>
    <row r="144" spans="2:70" s="132" customFormat="1" ht="13.15" x14ac:dyDescent="0.4">
      <c r="B144" s="93">
        <v>140</v>
      </c>
      <c r="C144" s="116" t="str">
        <f t="shared" si="74"/>
        <v/>
      </c>
      <c r="AD144" s="130">
        <v>140</v>
      </c>
      <c r="AE144" s="106">
        <f t="shared" si="90"/>
        <v>26</v>
      </c>
      <c r="AF144" s="130">
        <f t="shared" si="89"/>
        <v>10.33</v>
      </c>
      <c r="AG144" s="95">
        <f t="shared" si="77"/>
        <v>12</v>
      </c>
      <c r="AH144" s="95">
        <f t="shared" si="78"/>
        <v>10</v>
      </c>
      <c r="AI144" s="131">
        <f t="shared" si="87"/>
        <v>10.378785896192221</v>
      </c>
      <c r="AJ144" s="131">
        <f t="shared" si="87"/>
        <v>10.631214103807773</v>
      </c>
      <c r="AK144" s="131">
        <f t="shared" si="87"/>
        <v>10.252571792384446</v>
      </c>
      <c r="AL144" s="131">
        <f t="shared" si="87"/>
        <v>10.757428207615549</v>
      </c>
      <c r="AM144" s="131">
        <f t="shared" si="87"/>
        <v>10.12635768857667</v>
      </c>
      <c r="AN144" s="131">
        <f t="shared" si="87"/>
        <v>10.883642311423325</v>
      </c>
      <c r="AO144" s="131">
        <f t="shared" si="87"/>
        <v>10.504999999999997</v>
      </c>
      <c r="AP144" s="130"/>
      <c r="AQ144" s="95">
        <f t="shared" si="79"/>
        <v>0</v>
      </c>
      <c r="AR144" s="95">
        <f t="shared" si="80"/>
        <v>0</v>
      </c>
      <c r="BC144" s="94">
        <v>140</v>
      </c>
      <c r="BD144" s="108" t="e">
        <f t="shared" si="81"/>
        <v>#N/A</v>
      </c>
      <c r="BE144" s="94" t="str">
        <f t="shared" si="88"/>
        <v/>
      </c>
      <c r="BF144" s="109" t="str">
        <f t="shared" si="82"/>
        <v/>
      </c>
      <c r="BG144" s="109" t="str">
        <f t="shared" si="83"/>
        <v/>
      </c>
      <c r="BH144" s="109" t="str">
        <f t="shared" si="84"/>
        <v/>
      </c>
      <c r="BI144" s="109" t="str">
        <f t="shared" si="85"/>
        <v/>
      </c>
      <c r="BJ144" s="109" t="e">
        <f t="shared" si="86"/>
        <v>#N/A</v>
      </c>
      <c r="BK144" s="96"/>
      <c r="BL144" s="96"/>
      <c r="BM144" s="96"/>
      <c r="BN144" s="96"/>
      <c r="BO144" s="96"/>
      <c r="BP144" s="96"/>
      <c r="BQ144" s="96"/>
      <c r="BR144" s="96"/>
    </row>
    <row r="145" spans="2:70" s="132" customFormat="1" ht="13.15" x14ac:dyDescent="0.4">
      <c r="B145" s="88">
        <v>141</v>
      </c>
      <c r="C145" s="116" t="str">
        <f t="shared" si="74"/>
        <v/>
      </c>
      <c r="AD145" s="130">
        <v>141</v>
      </c>
      <c r="AE145" s="106">
        <f t="shared" si="90"/>
        <v>26</v>
      </c>
      <c r="AF145" s="130">
        <f t="shared" si="89"/>
        <v>10.33</v>
      </c>
      <c r="AG145" s="95">
        <f t="shared" si="77"/>
        <v>12</v>
      </c>
      <c r="AH145" s="95">
        <f t="shared" si="78"/>
        <v>10</v>
      </c>
      <c r="AI145" s="131">
        <f t="shared" si="87"/>
        <v>10.378785896192221</v>
      </c>
      <c r="AJ145" s="131">
        <f t="shared" si="87"/>
        <v>10.631214103807773</v>
      </c>
      <c r="AK145" s="131">
        <f t="shared" si="87"/>
        <v>10.252571792384446</v>
      </c>
      <c r="AL145" s="131">
        <f t="shared" si="87"/>
        <v>10.757428207615549</v>
      </c>
      <c r="AM145" s="131">
        <f t="shared" si="87"/>
        <v>10.12635768857667</v>
      </c>
      <c r="AN145" s="131">
        <f t="shared" si="87"/>
        <v>10.883642311423325</v>
      </c>
      <c r="AO145" s="131">
        <f t="shared" si="87"/>
        <v>10.504999999999997</v>
      </c>
      <c r="AP145" s="130"/>
      <c r="AQ145" s="95">
        <f t="shared" si="79"/>
        <v>0</v>
      </c>
      <c r="AR145" s="95">
        <f t="shared" si="80"/>
        <v>0</v>
      </c>
      <c r="BC145" s="94">
        <v>141</v>
      </c>
      <c r="BD145" s="108" t="e">
        <f t="shared" si="81"/>
        <v>#N/A</v>
      </c>
      <c r="BE145" s="94" t="str">
        <f t="shared" si="88"/>
        <v/>
      </c>
      <c r="BF145" s="109" t="str">
        <f t="shared" si="82"/>
        <v/>
      </c>
      <c r="BG145" s="109" t="str">
        <f t="shared" si="83"/>
        <v/>
      </c>
      <c r="BH145" s="109" t="str">
        <f t="shared" si="84"/>
        <v/>
      </c>
      <c r="BI145" s="109" t="str">
        <f t="shared" si="85"/>
        <v/>
      </c>
      <c r="BJ145" s="109" t="e">
        <f t="shared" si="86"/>
        <v>#N/A</v>
      </c>
      <c r="BK145" s="96"/>
      <c r="BL145" s="96"/>
      <c r="BM145" s="96"/>
      <c r="BN145" s="96"/>
      <c r="BO145" s="96"/>
      <c r="BP145" s="96"/>
      <c r="BQ145" s="96"/>
      <c r="BR145" s="96"/>
    </row>
    <row r="146" spans="2:70" s="132" customFormat="1" ht="13.15" x14ac:dyDescent="0.4">
      <c r="B146" s="93">
        <v>142</v>
      </c>
      <c r="C146" s="116" t="str">
        <f t="shared" si="74"/>
        <v/>
      </c>
      <c r="AD146" s="130">
        <v>142</v>
      </c>
      <c r="AE146" s="106">
        <f t="shared" si="90"/>
        <v>26</v>
      </c>
      <c r="AF146" s="130">
        <f t="shared" si="89"/>
        <v>10.33</v>
      </c>
      <c r="AG146" s="95">
        <f t="shared" si="77"/>
        <v>12</v>
      </c>
      <c r="AH146" s="95">
        <f t="shared" si="78"/>
        <v>10</v>
      </c>
      <c r="AI146" s="131">
        <f t="shared" si="87"/>
        <v>10.378785896192221</v>
      </c>
      <c r="AJ146" s="131">
        <f t="shared" si="87"/>
        <v>10.631214103807773</v>
      </c>
      <c r="AK146" s="131">
        <f t="shared" si="87"/>
        <v>10.252571792384446</v>
      </c>
      <c r="AL146" s="131">
        <f t="shared" si="87"/>
        <v>10.757428207615549</v>
      </c>
      <c r="AM146" s="131">
        <f t="shared" si="87"/>
        <v>10.12635768857667</v>
      </c>
      <c r="AN146" s="131">
        <f t="shared" si="87"/>
        <v>10.883642311423325</v>
      </c>
      <c r="AO146" s="131">
        <f t="shared" si="87"/>
        <v>10.504999999999997</v>
      </c>
      <c r="AP146" s="130"/>
      <c r="AQ146" s="95">
        <f t="shared" si="79"/>
        <v>0</v>
      </c>
      <c r="AR146" s="95">
        <f t="shared" si="80"/>
        <v>0</v>
      </c>
      <c r="BC146" s="94">
        <v>142</v>
      </c>
      <c r="BD146" s="108" t="e">
        <f t="shared" si="81"/>
        <v>#N/A</v>
      </c>
      <c r="BE146" s="94" t="str">
        <f t="shared" si="88"/>
        <v/>
      </c>
      <c r="BF146" s="109" t="str">
        <f t="shared" si="82"/>
        <v/>
      </c>
      <c r="BG146" s="109" t="str">
        <f t="shared" si="83"/>
        <v/>
      </c>
      <c r="BH146" s="109" t="str">
        <f t="shared" si="84"/>
        <v/>
      </c>
      <c r="BI146" s="109" t="str">
        <f t="shared" si="85"/>
        <v/>
      </c>
      <c r="BJ146" s="109" t="e">
        <f t="shared" si="86"/>
        <v>#N/A</v>
      </c>
      <c r="BK146" s="96"/>
      <c r="BL146" s="96"/>
      <c r="BM146" s="96"/>
      <c r="BN146" s="96"/>
      <c r="BO146" s="96"/>
      <c r="BP146" s="96"/>
      <c r="BQ146" s="96"/>
      <c r="BR146" s="96"/>
    </row>
    <row r="147" spans="2:70" s="132" customFormat="1" ht="13.15" x14ac:dyDescent="0.4">
      <c r="B147" s="88">
        <v>143</v>
      </c>
      <c r="C147" s="116" t="str">
        <f t="shared" si="74"/>
        <v/>
      </c>
      <c r="AD147" s="130">
        <v>143</v>
      </c>
      <c r="AE147" s="106">
        <f t="shared" si="90"/>
        <v>26</v>
      </c>
      <c r="AF147" s="130">
        <f t="shared" si="89"/>
        <v>10.33</v>
      </c>
      <c r="AG147" s="95">
        <f t="shared" si="77"/>
        <v>12</v>
      </c>
      <c r="AH147" s="95">
        <f t="shared" si="78"/>
        <v>10</v>
      </c>
      <c r="AI147" s="131">
        <f t="shared" si="87"/>
        <v>10.378785896192221</v>
      </c>
      <c r="AJ147" s="131">
        <f t="shared" si="87"/>
        <v>10.631214103807773</v>
      </c>
      <c r="AK147" s="131">
        <f t="shared" si="87"/>
        <v>10.252571792384446</v>
      </c>
      <c r="AL147" s="131">
        <f t="shared" si="87"/>
        <v>10.757428207615549</v>
      </c>
      <c r="AM147" s="131">
        <f t="shared" si="87"/>
        <v>10.12635768857667</v>
      </c>
      <c r="AN147" s="131">
        <f t="shared" si="87"/>
        <v>10.883642311423325</v>
      </c>
      <c r="AO147" s="131">
        <f t="shared" si="87"/>
        <v>10.504999999999997</v>
      </c>
      <c r="AP147" s="130"/>
      <c r="AQ147" s="95">
        <f t="shared" si="79"/>
        <v>0</v>
      </c>
      <c r="AR147" s="95">
        <f t="shared" si="80"/>
        <v>0</v>
      </c>
      <c r="BC147" s="94">
        <v>143</v>
      </c>
      <c r="BD147" s="108" t="e">
        <f t="shared" si="81"/>
        <v>#N/A</v>
      </c>
      <c r="BE147" s="94" t="str">
        <f t="shared" si="88"/>
        <v/>
      </c>
      <c r="BF147" s="109" t="str">
        <f t="shared" si="82"/>
        <v/>
      </c>
      <c r="BG147" s="109" t="str">
        <f t="shared" si="83"/>
        <v/>
      </c>
      <c r="BH147" s="109" t="str">
        <f t="shared" si="84"/>
        <v/>
      </c>
      <c r="BI147" s="109" t="str">
        <f t="shared" si="85"/>
        <v/>
      </c>
      <c r="BJ147" s="109" t="e">
        <f t="shared" si="86"/>
        <v>#N/A</v>
      </c>
      <c r="BK147" s="96"/>
      <c r="BL147" s="96"/>
      <c r="BM147" s="96"/>
      <c r="BN147" s="96"/>
      <c r="BO147" s="96"/>
      <c r="BP147" s="96"/>
      <c r="BQ147" s="96"/>
      <c r="BR147" s="96"/>
    </row>
    <row r="148" spans="2:70" s="132" customFormat="1" ht="13.15" x14ac:dyDescent="0.4">
      <c r="B148" s="93">
        <v>144</v>
      </c>
      <c r="C148" s="116" t="str">
        <f t="shared" si="74"/>
        <v/>
      </c>
      <c r="AD148" s="130">
        <v>144</v>
      </c>
      <c r="AE148" s="106">
        <f t="shared" si="90"/>
        <v>26</v>
      </c>
      <c r="AF148" s="130">
        <f t="shared" si="89"/>
        <v>10.33</v>
      </c>
      <c r="AG148" s="95">
        <f t="shared" si="77"/>
        <v>12</v>
      </c>
      <c r="AH148" s="95">
        <f t="shared" si="78"/>
        <v>10</v>
      </c>
      <c r="AI148" s="131">
        <f t="shared" si="87"/>
        <v>10.378785896192221</v>
      </c>
      <c r="AJ148" s="131">
        <f t="shared" si="87"/>
        <v>10.631214103807773</v>
      </c>
      <c r="AK148" s="131">
        <f t="shared" si="87"/>
        <v>10.252571792384446</v>
      </c>
      <c r="AL148" s="131">
        <f t="shared" si="87"/>
        <v>10.757428207615549</v>
      </c>
      <c r="AM148" s="131">
        <f t="shared" si="87"/>
        <v>10.12635768857667</v>
      </c>
      <c r="AN148" s="131">
        <f t="shared" si="87"/>
        <v>10.883642311423325</v>
      </c>
      <c r="AO148" s="131">
        <f t="shared" si="87"/>
        <v>10.504999999999997</v>
      </c>
      <c r="AP148" s="130"/>
      <c r="AQ148" s="95">
        <f t="shared" si="79"/>
        <v>0</v>
      </c>
      <c r="AR148" s="95">
        <f t="shared" si="80"/>
        <v>0</v>
      </c>
      <c r="BC148" s="94">
        <v>144</v>
      </c>
      <c r="BD148" s="108" t="e">
        <f t="shared" si="81"/>
        <v>#N/A</v>
      </c>
      <c r="BE148" s="94" t="str">
        <f t="shared" si="88"/>
        <v/>
      </c>
      <c r="BF148" s="109" t="str">
        <f t="shared" si="82"/>
        <v/>
      </c>
      <c r="BG148" s="109" t="str">
        <f t="shared" si="83"/>
        <v/>
      </c>
      <c r="BH148" s="109" t="str">
        <f t="shared" si="84"/>
        <v/>
      </c>
      <c r="BI148" s="109" t="str">
        <f t="shared" si="85"/>
        <v/>
      </c>
      <c r="BJ148" s="109" t="e">
        <f t="shared" si="86"/>
        <v>#N/A</v>
      </c>
      <c r="BK148" s="96"/>
      <c r="BL148" s="96"/>
      <c r="BM148" s="96"/>
      <c r="BN148" s="96"/>
      <c r="BO148" s="96"/>
      <c r="BP148" s="96"/>
      <c r="BQ148" s="96"/>
      <c r="BR148" s="96"/>
    </row>
    <row r="149" spans="2:70" s="132" customFormat="1" ht="13.15" x14ac:dyDescent="0.4">
      <c r="B149" s="88">
        <v>145</v>
      </c>
      <c r="C149" s="116" t="str">
        <f t="shared" si="74"/>
        <v/>
      </c>
      <c r="AD149" s="130">
        <v>145</v>
      </c>
      <c r="AE149" s="106">
        <f t="shared" si="90"/>
        <v>26</v>
      </c>
      <c r="AF149" s="130">
        <f t="shared" si="89"/>
        <v>10.33</v>
      </c>
      <c r="AG149" s="95">
        <f t="shared" si="77"/>
        <v>12</v>
      </c>
      <c r="AH149" s="95">
        <f t="shared" si="78"/>
        <v>10</v>
      </c>
      <c r="AI149" s="131">
        <f t="shared" si="87"/>
        <v>10.378785896192221</v>
      </c>
      <c r="AJ149" s="131">
        <f t="shared" si="87"/>
        <v>10.631214103807773</v>
      </c>
      <c r="AK149" s="131">
        <f t="shared" si="87"/>
        <v>10.252571792384446</v>
      </c>
      <c r="AL149" s="131">
        <f t="shared" si="87"/>
        <v>10.757428207615549</v>
      </c>
      <c r="AM149" s="131">
        <f t="shared" si="87"/>
        <v>10.12635768857667</v>
      </c>
      <c r="AN149" s="131">
        <f t="shared" si="87"/>
        <v>10.883642311423325</v>
      </c>
      <c r="AO149" s="131">
        <f t="shared" si="87"/>
        <v>10.504999999999997</v>
      </c>
      <c r="AP149" s="130"/>
      <c r="AQ149" s="95">
        <f t="shared" si="79"/>
        <v>0</v>
      </c>
      <c r="AR149" s="95">
        <f t="shared" si="80"/>
        <v>0</v>
      </c>
      <c r="BC149" s="94">
        <v>145</v>
      </c>
      <c r="BD149" s="108" t="e">
        <f t="shared" si="81"/>
        <v>#N/A</v>
      </c>
      <c r="BE149" s="94" t="str">
        <f t="shared" si="88"/>
        <v/>
      </c>
      <c r="BF149" s="109" t="str">
        <f t="shared" si="82"/>
        <v/>
      </c>
      <c r="BG149" s="109" t="str">
        <f t="shared" si="83"/>
        <v/>
      </c>
      <c r="BH149" s="109" t="str">
        <f t="shared" si="84"/>
        <v/>
      </c>
      <c r="BI149" s="109" t="str">
        <f t="shared" si="85"/>
        <v/>
      </c>
      <c r="BJ149" s="109" t="e">
        <f t="shared" si="86"/>
        <v>#N/A</v>
      </c>
      <c r="BK149" s="96"/>
      <c r="BL149" s="96"/>
      <c r="BM149" s="96"/>
      <c r="BN149" s="96"/>
      <c r="BO149" s="96"/>
      <c r="BP149" s="96"/>
      <c r="BQ149" s="96"/>
      <c r="BR149" s="96"/>
    </row>
    <row r="150" spans="2:70" s="132" customFormat="1" ht="13.15" x14ac:dyDescent="0.4">
      <c r="B150" s="93">
        <v>146</v>
      </c>
      <c r="C150" s="116" t="str">
        <f t="shared" si="74"/>
        <v/>
      </c>
      <c r="AD150" s="130">
        <v>146</v>
      </c>
      <c r="AE150" s="106">
        <f t="shared" si="90"/>
        <v>26</v>
      </c>
      <c r="AF150" s="130">
        <f t="shared" si="89"/>
        <v>10.33</v>
      </c>
      <c r="AG150" s="95">
        <f t="shared" si="77"/>
        <v>12</v>
      </c>
      <c r="AH150" s="95">
        <f t="shared" si="78"/>
        <v>10</v>
      </c>
      <c r="AI150" s="131">
        <f t="shared" ref="AI150:AO165" si="91">AI149</f>
        <v>10.378785896192221</v>
      </c>
      <c r="AJ150" s="131">
        <f t="shared" si="91"/>
        <v>10.631214103807773</v>
      </c>
      <c r="AK150" s="131">
        <f t="shared" si="91"/>
        <v>10.252571792384446</v>
      </c>
      <c r="AL150" s="131">
        <f t="shared" si="91"/>
        <v>10.757428207615549</v>
      </c>
      <c r="AM150" s="131">
        <f t="shared" si="91"/>
        <v>10.12635768857667</v>
      </c>
      <c r="AN150" s="131">
        <f t="shared" si="91"/>
        <v>10.883642311423325</v>
      </c>
      <c r="AO150" s="131">
        <f t="shared" si="91"/>
        <v>10.504999999999997</v>
      </c>
      <c r="AP150" s="130"/>
      <c r="AQ150" s="95">
        <f t="shared" si="79"/>
        <v>0</v>
      </c>
      <c r="AR150" s="95">
        <f t="shared" si="80"/>
        <v>0</v>
      </c>
      <c r="BC150" s="94">
        <v>146</v>
      </c>
      <c r="BD150" s="108" t="e">
        <f t="shared" si="81"/>
        <v>#N/A</v>
      </c>
      <c r="BE150" s="94" t="str">
        <f t="shared" si="88"/>
        <v/>
      </c>
      <c r="BF150" s="109" t="str">
        <f t="shared" si="82"/>
        <v/>
      </c>
      <c r="BG150" s="109" t="str">
        <f t="shared" si="83"/>
        <v/>
      </c>
      <c r="BH150" s="109" t="str">
        <f t="shared" si="84"/>
        <v/>
      </c>
      <c r="BI150" s="109" t="str">
        <f t="shared" si="85"/>
        <v/>
      </c>
      <c r="BJ150" s="109" t="e">
        <f t="shared" si="86"/>
        <v>#N/A</v>
      </c>
      <c r="BK150" s="96"/>
      <c r="BL150" s="96"/>
      <c r="BM150" s="96"/>
      <c r="BN150" s="96"/>
      <c r="BO150" s="96"/>
      <c r="BP150" s="96"/>
      <c r="BQ150" s="96"/>
      <c r="BR150" s="96"/>
    </row>
    <row r="151" spans="2:70" s="132" customFormat="1" ht="13.15" x14ac:dyDescent="0.4">
      <c r="B151" s="88">
        <v>147</v>
      </c>
      <c r="C151" s="116" t="str">
        <f t="shared" si="74"/>
        <v/>
      </c>
      <c r="AD151" s="130">
        <v>147</v>
      </c>
      <c r="AE151" s="106">
        <f t="shared" si="90"/>
        <v>26</v>
      </c>
      <c r="AF151" s="130">
        <f t="shared" si="89"/>
        <v>10.33</v>
      </c>
      <c r="AG151" s="95">
        <f t="shared" si="77"/>
        <v>12</v>
      </c>
      <c r="AH151" s="95">
        <f t="shared" si="78"/>
        <v>10</v>
      </c>
      <c r="AI151" s="131">
        <f t="shared" si="91"/>
        <v>10.378785896192221</v>
      </c>
      <c r="AJ151" s="131">
        <f t="shared" si="91"/>
        <v>10.631214103807773</v>
      </c>
      <c r="AK151" s="131">
        <f t="shared" si="91"/>
        <v>10.252571792384446</v>
      </c>
      <c r="AL151" s="131">
        <f t="shared" si="91"/>
        <v>10.757428207615549</v>
      </c>
      <c r="AM151" s="131">
        <f t="shared" si="91"/>
        <v>10.12635768857667</v>
      </c>
      <c r="AN151" s="131">
        <f t="shared" si="91"/>
        <v>10.883642311423325</v>
      </c>
      <c r="AO151" s="131">
        <f t="shared" si="91"/>
        <v>10.504999999999997</v>
      </c>
      <c r="AP151" s="130"/>
      <c r="AQ151" s="95">
        <f t="shared" si="79"/>
        <v>0</v>
      </c>
      <c r="AR151" s="95">
        <f t="shared" si="80"/>
        <v>0</v>
      </c>
      <c r="BC151" s="94">
        <v>147</v>
      </c>
      <c r="BD151" s="108" t="e">
        <f t="shared" si="81"/>
        <v>#N/A</v>
      </c>
      <c r="BE151" s="94" t="str">
        <f t="shared" si="88"/>
        <v/>
      </c>
      <c r="BF151" s="109" t="str">
        <f t="shared" si="82"/>
        <v/>
      </c>
      <c r="BG151" s="109" t="str">
        <f t="shared" si="83"/>
        <v/>
      </c>
      <c r="BH151" s="109" t="str">
        <f t="shared" si="84"/>
        <v/>
      </c>
      <c r="BI151" s="109" t="str">
        <f t="shared" si="85"/>
        <v/>
      </c>
      <c r="BJ151" s="109" t="e">
        <f t="shared" si="86"/>
        <v>#N/A</v>
      </c>
      <c r="BK151" s="96"/>
      <c r="BL151" s="96"/>
      <c r="BM151" s="96"/>
      <c r="BN151" s="96"/>
      <c r="BO151" s="96"/>
      <c r="BP151" s="96"/>
      <c r="BQ151" s="96"/>
      <c r="BR151" s="96"/>
    </row>
    <row r="152" spans="2:70" s="132" customFormat="1" ht="13.15" x14ac:dyDescent="0.4">
      <c r="B152" s="93">
        <v>148</v>
      </c>
      <c r="C152" s="116" t="str">
        <f t="shared" si="74"/>
        <v/>
      </c>
      <c r="AD152" s="130">
        <v>148</v>
      </c>
      <c r="AE152" s="106">
        <f t="shared" si="90"/>
        <v>26</v>
      </c>
      <c r="AF152" s="130">
        <f t="shared" si="89"/>
        <v>10.33</v>
      </c>
      <c r="AG152" s="95">
        <f t="shared" si="77"/>
        <v>12</v>
      </c>
      <c r="AH152" s="95">
        <f t="shared" si="78"/>
        <v>10</v>
      </c>
      <c r="AI152" s="131">
        <f t="shared" si="91"/>
        <v>10.378785896192221</v>
      </c>
      <c r="AJ152" s="131">
        <f t="shared" si="91"/>
        <v>10.631214103807773</v>
      </c>
      <c r="AK152" s="131">
        <f t="shared" si="91"/>
        <v>10.252571792384446</v>
      </c>
      <c r="AL152" s="131">
        <f t="shared" si="91"/>
        <v>10.757428207615549</v>
      </c>
      <c r="AM152" s="131">
        <f t="shared" si="91"/>
        <v>10.12635768857667</v>
      </c>
      <c r="AN152" s="131">
        <f t="shared" si="91"/>
        <v>10.883642311423325</v>
      </c>
      <c r="AO152" s="131">
        <f t="shared" si="91"/>
        <v>10.504999999999997</v>
      </c>
      <c r="AP152" s="130"/>
      <c r="AQ152" s="95">
        <f t="shared" si="79"/>
        <v>0</v>
      </c>
      <c r="AR152" s="95">
        <f t="shared" si="80"/>
        <v>0</v>
      </c>
      <c r="BC152" s="94">
        <v>148</v>
      </c>
      <c r="BD152" s="108" t="e">
        <f t="shared" si="81"/>
        <v>#N/A</v>
      </c>
      <c r="BE152" s="94" t="str">
        <f t="shared" si="88"/>
        <v/>
      </c>
      <c r="BF152" s="109" t="str">
        <f t="shared" si="82"/>
        <v/>
      </c>
      <c r="BG152" s="109" t="str">
        <f t="shared" si="83"/>
        <v/>
      </c>
      <c r="BH152" s="109" t="str">
        <f t="shared" si="84"/>
        <v/>
      </c>
      <c r="BI152" s="109" t="str">
        <f t="shared" si="85"/>
        <v/>
      </c>
      <c r="BJ152" s="109" t="e">
        <f t="shared" si="86"/>
        <v>#N/A</v>
      </c>
      <c r="BK152" s="96"/>
      <c r="BL152" s="96"/>
      <c r="BM152" s="96"/>
      <c r="BN152" s="96"/>
      <c r="BO152" s="96"/>
      <c r="BP152" s="96"/>
      <c r="BQ152" s="96"/>
      <c r="BR152" s="96"/>
    </row>
    <row r="153" spans="2:70" s="132" customFormat="1" ht="13.15" x14ac:dyDescent="0.4">
      <c r="B153" s="88">
        <v>149</v>
      </c>
      <c r="C153" s="116" t="str">
        <f t="shared" si="74"/>
        <v/>
      </c>
      <c r="AD153" s="130">
        <v>149</v>
      </c>
      <c r="AE153" s="106">
        <f t="shared" si="90"/>
        <v>26</v>
      </c>
      <c r="AF153" s="130">
        <f t="shared" si="89"/>
        <v>10.33</v>
      </c>
      <c r="AG153" s="95">
        <f t="shared" si="77"/>
        <v>12</v>
      </c>
      <c r="AH153" s="95">
        <f t="shared" si="78"/>
        <v>10</v>
      </c>
      <c r="AI153" s="131">
        <f t="shared" si="91"/>
        <v>10.378785896192221</v>
      </c>
      <c r="AJ153" s="131">
        <f t="shared" si="91"/>
        <v>10.631214103807773</v>
      </c>
      <c r="AK153" s="131">
        <f t="shared" si="91"/>
        <v>10.252571792384446</v>
      </c>
      <c r="AL153" s="131">
        <f t="shared" si="91"/>
        <v>10.757428207615549</v>
      </c>
      <c r="AM153" s="131">
        <f t="shared" si="91"/>
        <v>10.12635768857667</v>
      </c>
      <c r="AN153" s="131">
        <f t="shared" si="91"/>
        <v>10.883642311423325</v>
      </c>
      <c r="AO153" s="131">
        <f t="shared" si="91"/>
        <v>10.504999999999997</v>
      </c>
      <c r="AP153" s="130"/>
      <c r="AQ153" s="95">
        <f t="shared" si="79"/>
        <v>0</v>
      </c>
      <c r="AR153" s="95">
        <f t="shared" si="80"/>
        <v>0</v>
      </c>
      <c r="BC153" s="94">
        <v>149</v>
      </c>
      <c r="BD153" s="108" t="e">
        <f t="shared" si="81"/>
        <v>#N/A</v>
      </c>
      <c r="BE153" s="94" t="str">
        <f t="shared" si="88"/>
        <v/>
      </c>
      <c r="BF153" s="109" t="str">
        <f t="shared" si="82"/>
        <v/>
      </c>
      <c r="BG153" s="109" t="str">
        <f t="shared" si="83"/>
        <v/>
      </c>
      <c r="BH153" s="109" t="str">
        <f t="shared" si="84"/>
        <v/>
      </c>
      <c r="BI153" s="109" t="str">
        <f t="shared" si="85"/>
        <v/>
      </c>
      <c r="BJ153" s="109" t="e">
        <f t="shared" si="86"/>
        <v>#N/A</v>
      </c>
      <c r="BK153" s="96"/>
      <c r="BL153" s="96"/>
      <c r="BM153" s="96"/>
      <c r="BN153" s="96"/>
      <c r="BO153" s="96"/>
      <c r="BP153" s="96"/>
      <c r="BQ153" s="96"/>
      <c r="BR153" s="96"/>
    </row>
    <row r="154" spans="2:70" s="132" customFormat="1" ht="13.15" x14ac:dyDescent="0.4">
      <c r="B154" s="93">
        <v>150</v>
      </c>
      <c r="C154" s="116" t="str">
        <f t="shared" si="74"/>
        <v/>
      </c>
      <c r="AD154" s="130">
        <v>150</v>
      </c>
      <c r="AE154" s="106">
        <f t="shared" si="90"/>
        <v>26</v>
      </c>
      <c r="AF154" s="130">
        <f t="shared" si="89"/>
        <v>10.33</v>
      </c>
      <c r="AG154" s="95">
        <f t="shared" si="77"/>
        <v>12</v>
      </c>
      <c r="AH154" s="95">
        <f t="shared" si="78"/>
        <v>10</v>
      </c>
      <c r="AI154" s="131">
        <f t="shared" si="91"/>
        <v>10.378785896192221</v>
      </c>
      <c r="AJ154" s="131">
        <f t="shared" si="91"/>
        <v>10.631214103807773</v>
      </c>
      <c r="AK154" s="131">
        <f t="shared" si="91"/>
        <v>10.252571792384446</v>
      </c>
      <c r="AL154" s="131">
        <f t="shared" si="91"/>
        <v>10.757428207615549</v>
      </c>
      <c r="AM154" s="131">
        <f t="shared" si="91"/>
        <v>10.12635768857667</v>
      </c>
      <c r="AN154" s="131">
        <f t="shared" si="91"/>
        <v>10.883642311423325</v>
      </c>
      <c r="AO154" s="131">
        <f t="shared" si="91"/>
        <v>10.504999999999997</v>
      </c>
      <c r="AP154" s="130"/>
      <c r="AQ154" s="95">
        <f t="shared" si="79"/>
        <v>0</v>
      </c>
      <c r="AR154" s="95">
        <f t="shared" si="80"/>
        <v>0</v>
      </c>
      <c r="BC154" s="94">
        <v>150</v>
      </c>
      <c r="BD154" s="108" t="e">
        <f t="shared" si="81"/>
        <v>#N/A</v>
      </c>
      <c r="BE154" s="94" t="str">
        <f t="shared" si="88"/>
        <v/>
      </c>
      <c r="BF154" s="109" t="str">
        <f t="shared" si="82"/>
        <v/>
      </c>
      <c r="BG154" s="109" t="str">
        <f t="shared" si="83"/>
        <v/>
      </c>
      <c r="BH154" s="109" t="str">
        <f t="shared" si="84"/>
        <v/>
      </c>
      <c r="BI154" s="109" t="str">
        <f t="shared" si="85"/>
        <v/>
      </c>
      <c r="BJ154" s="109" t="e">
        <f t="shared" si="86"/>
        <v>#N/A</v>
      </c>
      <c r="BK154" s="96"/>
      <c r="BL154" s="96"/>
      <c r="BM154" s="96"/>
      <c r="BN154" s="96"/>
      <c r="BO154" s="96"/>
      <c r="BP154" s="96"/>
      <c r="BQ154" s="96"/>
      <c r="BR154" s="96"/>
    </row>
    <row r="155" spans="2:70" s="132" customFormat="1" ht="13.15" x14ac:dyDescent="0.4">
      <c r="B155" s="88">
        <v>151</v>
      </c>
      <c r="C155" s="116" t="str">
        <f>IF(L5="","",L5)</f>
        <v/>
      </c>
      <c r="AD155" s="130">
        <v>151</v>
      </c>
      <c r="AE155" s="106">
        <f t="shared" si="90"/>
        <v>26</v>
      </c>
      <c r="AF155" s="130">
        <f t="shared" si="89"/>
        <v>10.33</v>
      </c>
      <c r="AG155" s="95">
        <f t="shared" si="77"/>
        <v>12</v>
      </c>
      <c r="AH155" s="95">
        <f t="shared" si="78"/>
        <v>10</v>
      </c>
      <c r="AI155" s="131">
        <f t="shared" si="91"/>
        <v>10.378785896192221</v>
      </c>
      <c r="AJ155" s="131">
        <f t="shared" si="91"/>
        <v>10.631214103807773</v>
      </c>
      <c r="AK155" s="131">
        <f t="shared" si="91"/>
        <v>10.252571792384446</v>
      </c>
      <c r="AL155" s="131">
        <f t="shared" si="91"/>
        <v>10.757428207615549</v>
      </c>
      <c r="AM155" s="131">
        <f t="shared" si="91"/>
        <v>10.12635768857667</v>
      </c>
      <c r="AN155" s="131">
        <f t="shared" si="91"/>
        <v>10.883642311423325</v>
      </c>
      <c r="AO155" s="131">
        <f t="shared" si="91"/>
        <v>10.504999999999997</v>
      </c>
      <c r="AP155" s="130"/>
      <c r="AQ155" s="95">
        <f t="shared" si="79"/>
        <v>0</v>
      </c>
      <c r="AR155" s="95">
        <f t="shared" si="80"/>
        <v>0</v>
      </c>
      <c r="BC155" s="94">
        <v>151</v>
      </c>
      <c r="BD155" s="108" t="e">
        <f t="shared" si="81"/>
        <v>#N/A</v>
      </c>
      <c r="BE155" s="94" t="str">
        <f t="shared" si="88"/>
        <v/>
      </c>
      <c r="BF155" s="109" t="str">
        <f t="shared" si="82"/>
        <v/>
      </c>
      <c r="BG155" s="109" t="str">
        <f t="shared" si="83"/>
        <v/>
      </c>
      <c r="BH155" s="109" t="str">
        <f t="shared" si="84"/>
        <v/>
      </c>
      <c r="BI155" s="109" t="str">
        <f t="shared" si="85"/>
        <v/>
      </c>
      <c r="BJ155" s="109" t="e">
        <f t="shared" si="86"/>
        <v>#N/A</v>
      </c>
      <c r="BK155" s="96"/>
      <c r="BL155" s="96"/>
      <c r="BM155" s="96"/>
      <c r="BN155" s="96"/>
      <c r="BO155" s="96"/>
      <c r="BP155" s="96"/>
      <c r="BQ155" s="96"/>
      <c r="BR155" s="96"/>
    </row>
    <row r="156" spans="2:70" s="132" customFormat="1" ht="13.15" x14ac:dyDescent="0.4">
      <c r="B156" s="93">
        <v>152</v>
      </c>
      <c r="C156" s="116" t="str">
        <f t="shared" ref="C156:C204" si="92">IF(L6="","",L6)</f>
        <v/>
      </c>
      <c r="AD156" s="130">
        <v>152</v>
      </c>
      <c r="AE156" s="106">
        <f t="shared" si="90"/>
        <v>26</v>
      </c>
      <c r="AF156" s="130">
        <f t="shared" si="89"/>
        <v>10.33</v>
      </c>
      <c r="AG156" s="95">
        <f t="shared" si="77"/>
        <v>12</v>
      </c>
      <c r="AH156" s="95">
        <f t="shared" si="78"/>
        <v>10</v>
      </c>
      <c r="AI156" s="131">
        <f t="shared" si="91"/>
        <v>10.378785896192221</v>
      </c>
      <c r="AJ156" s="131">
        <f t="shared" si="91"/>
        <v>10.631214103807773</v>
      </c>
      <c r="AK156" s="131">
        <f t="shared" si="91"/>
        <v>10.252571792384446</v>
      </c>
      <c r="AL156" s="131">
        <f t="shared" si="91"/>
        <v>10.757428207615549</v>
      </c>
      <c r="AM156" s="131">
        <f t="shared" si="91"/>
        <v>10.12635768857667</v>
      </c>
      <c r="AN156" s="131">
        <f t="shared" si="91"/>
        <v>10.883642311423325</v>
      </c>
      <c r="AO156" s="131">
        <f t="shared" si="91"/>
        <v>10.504999999999997</v>
      </c>
      <c r="AP156" s="130"/>
      <c r="AQ156" s="95">
        <f t="shared" si="79"/>
        <v>0</v>
      </c>
      <c r="AR156" s="95">
        <f t="shared" si="80"/>
        <v>0</v>
      </c>
      <c r="BC156" s="94">
        <v>152</v>
      </c>
      <c r="BD156" s="108" t="e">
        <f t="shared" si="81"/>
        <v>#N/A</v>
      </c>
      <c r="BE156" s="94" t="str">
        <f t="shared" si="88"/>
        <v/>
      </c>
      <c r="BF156" s="109" t="str">
        <f t="shared" si="82"/>
        <v/>
      </c>
      <c r="BG156" s="109" t="str">
        <f t="shared" si="83"/>
        <v/>
      </c>
      <c r="BH156" s="109" t="str">
        <f t="shared" si="84"/>
        <v/>
      </c>
      <c r="BI156" s="109" t="str">
        <f t="shared" si="85"/>
        <v/>
      </c>
      <c r="BJ156" s="109" t="e">
        <f t="shared" si="86"/>
        <v>#N/A</v>
      </c>
      <c r="BK156" s="96"/>
      <c r="BL156" s="96"/>
      <c r="BM156" s="96"/>
      <c r="BN156" s="96"/>
      <c r="BO156" s="96"/>
      <c r="BP156" s="96"/>
      <c r="BQ156" s="96"/>
      <c r="BR156" s="96"/>
    </row>
    <row r="157" spans="2:70" s="132" customFormat="1" ht="13.15" x14ac:dyDescent="0.4">
      <c r="B157" s="88">
        <v>153</v>
      </c>
      <c r="C157" s="116" t="str">
        <f t="shared" si="92"/>
        <v/>
      </c>
      <c r="AD157" s="130">
        <v>153</v>
      </c>
      <c r="AE157" s="106">
        <f t="shared" si="90"/>
        <v>26</v>
      </c>
      <c r="AF157" s="130">
        <f t="shared" si="89"/>
        <v>10.33</v>
      </c>
      <c r="AG157" s="95">
        <f t="shared" si="77"/>
        <v>12</v>
      </c>
      <c r="AH157" s="95">
        <f t="shared" si="78"/>
        <v>10</v>
      </c>
      <c r="AI157" s="131">
        <f t="shared" si="91"/>
        <v>10.378785896192221</v>
      </c>
      <c r="AJ157" s="131">
        <f t="shared" si="91"/>
        <v>10.631214103807773</v>
      </c>
      <c r="AK157" s="131">
        <f t="shared" si="91"/>
        <v>10.252571792384446</v>
      </c>
      <c r="AL157" s="131">
        <f t="shared" si="91"/>
        <v>10.757428207615549</v>
      </c>
      <c r="AM157" s="131">
        <f t="shared" si="91"/>
        <v>10.12635768857667</v>
      </c>
      <c r="AN157" s="131">
        <f t="shared" si="91"/>
        <v>10.883642311423325</v>
      </c>
      <c r="AO157" s="131">
        <f t="shared" si="91"/>
        <v>10.504999999999997</v>
      </c>
      <c r="AP157" s="130"/>
      <c r="AQ157" s="95">
        <f t="shared" si="79"/>
        <v>0</v>
      </c>
      <c r="AR157" s="95">
        <f t="shared" si="80"/>
        <v>0</v>
      </c>
      <c r="BC157" s="94">
        <v>153</v>
      </c>
      <c r="BD157" s="108" t="e">
        <f t="shared" si="81"/>
        <v>#N/A</v>
      </c>
      <c r="BE157" s="94" t="str">
        <f t="shared" si="88"/>
        <v/>
      </c>
      <c r="BF157" s="109" t="str">
        <f t="shared" si="82"/>
        <v/>
      </c>
      <c r="BG157" s="109" t="str">
        <f t="shared" si="83"/>
        <v/>
      </c>
      <c r="BH157" s="109" t="str">
        <f t="shared" si="84"/>
        <v/>
      </c>
      <c r="BI157" s="109" t="str">
        <f t="shared" si="85"/>
        <v/>
      </c>
      <c r="BJ157" s="109" t="e">
        <f t="shared" si="86"/>
        <v>#N/A</v>
      </c>
      <c r="BK157" s="96"/>
      <c r="BL157" s="96"/>
      <c r="BM157" s="96"/>
      <c r="BN157" s="96"/>
      <c r="BO157" s="96"/>
      <c r="BP157" s="96"/>
      <c r="BQ157" s="96"/>
      <c r="BR157" s="96"/>
    </row>
    <row r="158" spans="2:70" s="132" customFormat="1" ht="13.15" x14ac:dyDescent="0.4">
      <c r="B158" s="93">
        <v>154</v>
      </c>
      <c r="C158" s="116" t="str">
        <f t="shared" si="92"/>
        <v/>
      </c>
      <c r="AD158" s="130">
        <v>154</v>
      </c>
      <c r="AE158" s="106">
        <f t="shared" si="90"/>
        <v>26</v>
      </c>
      <c r="AF158" s="130">
        <f t="shared" si="89"/>
        <v>10.33</v>
      </c>
      <c r="AG158" s="95">
        <f t="shared" si="77"/>
        <v>12</v>
      </c>
      <c r="AH158" s="95">
        <f t="shared" si="78"/>
        <v>10</v>
      </c>
      <c r="AI158" s="131">
        <f t="shared" si="91"/>
        <v>10.378785896192221</v>
      </c>
      <c r="AJ158" s="131">
        <f t="shared" si="91"/>
        <v>10.631214103807773</v>
      </c>
      <c r="AK158" s="131">
        <f t="shared" si="91"/>
        <v>10.252571792384446</v>
      </c>
      <c r="AL158" s="131">
        <f t="shared" si="91"/>
        <v>10.757428207615549</v>
      </c>
      <c r="AM158" s="131">
        <f t="shared" si="91"/>
        <v>10.12635768857667</v>
      </c>
      <c r="AN158" s="131">
        <f t="shared" si="91"/>
        <v>10.883642311423325</v>
      </c>
      <c r="AO158" s="131">
        <f t="shared" si="91"/>
        <v>10.504999999999997</v>
      </c>
      <c r="AP158" s="130"/>
      <c r="AQ158" s="95">
        <f t="shared" si="79"/>
        <v>0</v>
      </c>
      <c r="AR158" s="95">
        <f t="shared" si="80"/>
        <v>0</v>
      </c>
      <c r="BC158" s="94">
        <v>154</v>
      </c>
      <c r="BD158" s="108" t="e">
        <f t="shared" si="81"/>
        <v>#N/A</v>
      </c>
      <c r="BE158" s="94" t="str">
        <f t="shared" si="88"/>
        <v/>
      </c>
      <c r="BF158" s="109" t="str">
        <f t="shared" si="82"/>
        <v/>
      </c>
      <c r="BG158" s="109" t="str">
        <f t="shared" si="83"/>
        <v/>
      </c>
      <c r="BH158" s="109" t="str">
        <f t="shared" si="84"/>
        <v/>
      </c>
      <c r="BI158" s="109" t="str">
        <f t="shared" si="85"/>
        <v/>
      </c>
      <c r="BJ158" s="109" t="e">
        <f t="shared" si="86"/>
        <v>#N/A</v>
      </c>
      <c r="BK158" s="96"/>
      <c r="BL158" s="96"/>
      <c r="BM158" s="96"/>
      <c r="BN158" s="96"/>
      <c r="BO158" s="96"/>
      <c r="BP158" s="96"/>
      <c r="BQ158" s="96"/>
      <c r="BR158" s="96"/>
    </row>
    <row r="159" spans="2:70" s="132" customFormat="1" ht="13.15" x14ac:dyDescent="0.4">
      <c r="B159" s="88">
        <v>155</v>
      </c>
      <c r="C159" s="116" t="str">
        <f t="shared" si="92"/>
        <v/>
      </c>
      <c r="AD159" s="130">
        <v>155</v>
      </c>
      <c r="AE159" s="106">
        <f t="shared" si="90"/>
        <v>26</v>
      </c>
      <c r="AF159" s="130">
        <f t="shared" si="89"/>
        <v>10.33</v>
      </c>
      <c r="AG159" s="95">
        <f t="shared" si="77"/>
        <v>12</v>
      </c>
      <c r="AH159" s="95">
        <f t="shared" si="78"/>
        <v>10</v>
      </c>
      <c r="AI159" s="131">
        <f t="shared" si="91"/>
        <v>10.378785896192221</v>
      </c>
      <c r="AJ159" s="131">
        <f t="shared" si="91"/>
        <v>10.631214103807773</v>
      </c>
      <c r="AK159" s="131">
        <f t="shared" si="91"/>
        <v>10.252571792384446</v>
      </c>
      <c r="AL159" s="131">
        <f t="shared" si="91"/>
        <v>10.757428207615549</v>
      </c>
      <c r="AM159" s="131">
        <f t="shared" si="91"/>
        <v>10.12635768857667</v>
      </c>
      <c r="AN159" s="131">
        <f t="shared" si="91"/>
        <v>10.883642311423325</v>
      </c>
      <c r="AO159" s="131">
        <f t="shared" si="91"/>
        <v>10.504999999999997</v>
      </c>
      <c r="AP159" s="130"/>
      <c r="AQ159" s="95">
        <f t="shared" si="79"/>
        <v>0</v>
      </c>
      <c r="AR159" s="95">
        <f t="shared" si="80"/>
        <v>0</v>
      </c>
      <c r="BC159" s="94">
        <v>155</v>
      </c>
      <c r="BD159" s="108" t="e">
        <f t="shared" si="81"/>
        <v>#N/A</v>
      </c>
      <c r="BE159" s="94" t="str">
        <f t="shared" si="88"/>
        <v/>
      </c>
      <c r="BF159" s="109" t="str">
        <f t="shared" si="82"/>
        <v/>
      </c>
      <c r="BG159" s="109" t="str">
        <f t="shared" si="83"/>
        <v/>
      </c>
      <c r="BH159" s="109" t="str">
        <f t="shared" si="84"/>
        <v/>
      </c>
      <c r="BI159" s="109" t="str">
        <f t="shared" si="85"/>
        <v/>
      </c>
      <c r="BJ159" s="109" t="e">
        <f t="shared" si="86"/>
        <v>#N/A</v>
      </c>
      <c r="BK159" s="96"/>
      <c r="BL159" s="96"/>
      <c r="BM159" s="96"/>
      <c r="BN159" s="96"/>
      <c r="BO159" s="96"/>
      <c r="BP159" s="96"/>
      <c r="BQ159" s="96"/>
      <c r="BR159" s="96"/>
    </row>
    <row r="160" spans="2:70" s="132" customFormat="1" ht="13.15" x14ac:dyDescent="0.4">
      <c r="B160" s="93">
        <v>156</v>
      </c>
      <c r="C160" s="116" t="str">
        <f t="shared" si="92"/>
        <v/>
      </c>
      <c r="AD160" s="130">
        <v>156</v>
      </c>
      <c r="AE160" s="106">
        <f t="shared" si="90"/>
        <v>26</v>
      </c>
      <c r="AF160" s="130">
        <f t="shared" si="89"/>
        <v>10.33</v>
      </c>
      <c r="AG160" s="95">
        <f t="shared" si="77"/>
        <v>12</v>
      </c>
      <c r="AH160" s="95">
        <f t="shared" si="78"/>
        <v>10</v>
      </c>
      <c r="AI160" s="131">
        <f t="shared" si="91"/>
        <v>10.378785896192221</v>
      </c>
      <c r="AJ160" s="131">
        <f t="shared" si="91"/>
        <v>10.631214103807773</v>
      </c>
      <c r="AK160" s="131">
        <f t="shared" si="91"/>
        <v>10.252571792384446</v>
      </c>
      <c r="AL160" s="131">
        <f t="shared" si="91"/>
        <v>10.757428207615549</v>
      </c>
      <c r="AM160" s="131">
        <f t="shared" si="91"/>
        <v>10.12635768857667</v>
      </c>
      <c r="AN160" s="131">
        <f t="shared" si="91"/>
        <v>10.883642311423325</v>
      </c>
      <c r="AO160" s="131">
        <f t="shared" si="91"/>
        <v>10.504999999999997</v>
      </c>
      <c r="AP160" s="130"/>
      <c r="AQ160" s="95">
        <f t="shared" si="79"/>
        <v>0</v>
      </c>
      <c r="AR160" s="95">
        <f t="shared" si="80"/>
        <v>0</v>
      </c>
      <c r="BC160" s="94">
        <v>156</v>
      </c>
      <c r="BD160" s="108" t="e">
        <f t="shared" si="81"/>
        <v>#N/A</v>
      </c>
      <c r="BE160" s="94" t="str">
        <f t="shared" si="88"/>
        <v/>
      </c>
      <c r="BF160" s="109" t="str">
        <f t="shared" si="82"/>
        <v/>
      </c>
      <c r="BG160" s="109" t="str">
        <f t="shared" si="83"/>
        <v/>
      </c>
      <c r="BH160" s="109" t="str">
        <f t="shared" si="84"/>
        <v/>
      </c>
      <c r="BI160" s="109" t="str">
        <f t="shared" si="85"/>
        <v/>
      </c>
      <c r="BJ160" s="109" t="e">
        <f t="shared" si="86"/>
        <v>#N/A</v>
      </c>
      <c r="BK160" s="96"/>
      <c r="BL160" s="96"/>
      <c r="BM160" s="96"/>
      <c r="BN160" s="96"/>
      <c r="BO160" s="96"/>
      <c r="BP160" s="96"/>
      <c r="BQ160" s="96"/>
      <c r="BR160" s="96"/>
    </row>
    <row r="161" spans="2:70" s="132" customFormat="1" ht="13.15" x14ac:dyDescent="0.4">
      <c r="B161" s="88">
        <v>157</v>
      </c>
      <c r="C161" s="116" t="str">
        <f t="shared" si="92"/>
        <v/>
      </c>
      <c r="AD161" s="130">
        <v>157</v>
      </c>
      <c r="AE161" s="106">
        <f t="shared" si="90"/>
        <v>26</v>
      </c>
      <c r="AF161" s="130">
        <f t="shared" si="89"/>
        <v>10.33</v>
      </c>
      <c r="AG161" s="95">
        <f t="shared" si="77"/>
        <v>12</v>
      </c>
      <c r="AH161" s="95">
        <f t="shared" si="78"/>
        <v>10</v>
      </c>
      <c r="AI161" s="131">
        <f t="shared" si="91"/>
        <v>10.378785896192221</v>
      </c>
      <c r="AJ161" s="131">
        <f t="shared" si="91"/>
        <v>10.631214103807773</v>
      </c>
      <c r="AK161" s="131">
        <f t="shared" si="91"/>
        <v>10.252571792384446</v>
      </c>
      <c r="AL161" s="131">
        <f t="shared" si="91"/>
        <v>10.757428207615549</v>
      </c>
      <c r="AM161" s="131">
        <f t="shared" si="91"/>
        <v>10.12635768857667</v>
      </c>
      <c r="AN161" s="131">
        <f t="shared" si="91"/>
        <v>10.883642311423325</v>
      </c>
      <c r="AO161" s="131">
        <f t="shared" si="91"/>
        <v>10.504999999999997</v>
      </c>
      <c r="AP161" s="130"/>
      <c r="AQ161" s="95">
        <f t="shared" si="79"/>
        <v>0</v>
      </c>
      <c r="AR161" s="95">
        <f t="shared" si="80"/>
        <v>0</v>
      </c>
      <c r="BC161" s="94">
        <v>157</v>
      </c>
      <c r="BD161" s="108" t="e">
        <f t="shared" si="81"/>
        <v>#N/A</v>
      </c>
      <c r="BE161" s="94" t="str">
        <f t="shared" si="88"/>
        <v/>
      </c>
      <c r="BF161" s="109" t="str">
        <f t="shared" si="82"/>
        <v/>
      </c>
      <c r="BG161" s="109" t="str">
        <f t="shared" si="83"/>
        <v/>
      </c>
      <c r="BH161" s="109" t="str">
        <f t="shared" si="84"/>
        <v/>
      </c>
      <c r="BI161" s="109" t="str">
        <f t="shared" si="85"/>
        <v/>
      </c>
      <c r="BJ161" s="109" t="e">
        <f t="shared" si="86"/>
        <v>#N/A</v>
      </c>
      <c r="BK161" s="96"/>
      <c r="BL161" s="96"/>
      <c r="BM161" s="96"/>
      <c r="BN161" s="96"/>
      <c r="BO161" s="96"/>
      <c r="BP161" s="96"/>
      <c r="BQ161" s="96"/>
      <c r="BR161" s="96"/>
    </row>
    <row r="162" spans="2:70" s="132" customFormat="1" ht="13.15" x14ac:dyDescent="0.4">
      <c r="B162" s="93">
        <v>158</v>
      </c>
      <c r="C162" s="116" t="str">
        <f t="shared" si="92"/>
        <v/>
      </c>
      <c r="AD162" s="130">
        <v>158</v>
      </c>
      <c r="AE162" s="106">
        <f t="shared" si="90"/>
        <v>26</v>
      </c>
      <c r="AF162" s="130">
        <f t="shared" si="89"/>
        <v>10.33</v>
      </c>
      <c r="AG162" s="95">
        <f t="shared" si="77"/>
        <v>12</v>
      </c>
      <c r="AH162" s="95">
        <f t="shared" si="78"/>
        <v>10</v>
      </c>
      <c r="AI162" s="131">
        <f t="shared" si="91"/>
        <v>10.378785896192221</v>
      </c>
      <c r="AJ162" s="131">
        <f t="shared" si="91"/>
        <v>10.631214103807773</v>
      </c>
      <c r="AK162" s="131">
        <f t="shared" si="91"/>
        <v>10.252571792384446</v>
      </c>
      <c r="AL162" s="131">
        <f t="shared" si="91"/>
        <v>10.757428207615549</v>
      </c>
      <c r="AM162" s="131">
        <f t="shared" si="91"/>
        <v>10.12635768857667</v>
      </c>
      <c r="AN162" s="131">
        <f t="shared" si="91"/>
        <v>10.883642311423325</v>
      </c>
      <c r="AO162" s="131">
        <f t="shared" si="91"/>
        <v>10.504999999999997</v>
      </c>
      <c r="AP162" s="130"/>
      <c r="AQ162" s="95">
        <f t="shared" si="79"/>
        <v>0</v>
      </c>
      <c r="AR162" s="95">
        <f t="shared" si="80"/>
        <v>0</v>
      </c>
      <c r="BC162" s="94">
        <v>158</v>
      </c>
      <c r="BD162" s="108" t="e">
        <f t="shared" si="81"/>
        <v>#N/A</v>
      </c>
      <c r="BE162" s="94" t="str">
        <f t="shared" si="88"/>
        <v/>
      </c>
      <c r="BF162" s="109" t="str">
        <f t="shared" si="82"/>
        <v/>
      </c>
      <c r="BG162" s="109" t="str">
        <f t="shared" si="83"/>
        <v/>
      </c>
      <c r="BH162" s="109" t="str">
        <f t="shared" si="84"/>
        <v/>
      </c>
      <c r="BI162" s="109" t="str">
        <f t="shared" si="85"/>
        <v/>
      </c>
      <c r="BJ162" s="109" t="e">
        <f t="shared" si="86"/>
        <v>#N/A</v>
      </c>
      <c r="BK162" s="96"/>
      <c r="BL162" s="96"/>
      <c r="BM162" s="96"/>
      <c r="BN162" s="96"/>
      <c r="BO162" s="96"/>
      <c r="BP162" s="96"/>
      <c r="BQ162" s="96"/>
      <c r="BR162" s="96"/>
    </row>
    <row r="163" spans="2:70" s="132" customFormat="1" ht="13.15" x14ac:dyDescent="0.4">
      <c r="B163" s="88">
        <v>159</v>
      </c>
      <c r="C163" s="116" t="str">
        <f t="shared" si="92"/>
        <v/>
      </c>
      <c r="AD163" s="130">
        <v>159</v>
      </c>
      <c r="AE163" s="106">
        <f t="shared" si="90"/>
        <v>26</v>
      </c>
      <c r="AF163" s="130">
        <f t="shared" si="89"/>
        <v>10.33</v>
      </c>
      <c r="AG163" s="95">
        <f t="shared" si="77"/>
        <v>12</v>
      </c>
      <c r="AH163" s="95">
        <f t="shared" si="78"/>
        <v>10</v>
      </c>
      <c r="AI163" s="131">
        <f t="shared" si="91"/>
        <v>10.378785896192221</v>
      </c>
      <c r="AJ163" s="131">
        <f t="shared" si="91"/>
        <v>10.631214103807773</v>
      </c>
      <c r="AK163" s="131">
        <f t="shared" si="91"/>
        <v>10.252571792384446</v>
      </c>
      <c r="AL163" s="131">
        <f t="shared" si="91"/>
        <v>10.757428207615549</v>
      </c>
      <c r="AM163" s="131">
        <f t="shared" si="91"/>
        <v>10.12635768857667</v>
      </c>
      <c r="AN163" s="131">
        <f t="shared" si="91"/>
        <v>10.883642311423325</v>
      </c>
      <c r="AO163" s="131">
        <f t="shared" si="91"/>
        <v>10.504999999999997</v>
      </c>
      <c r="AP163" s="130"/>
      <c r="AQ163" s="95">
        <f t="shared" si="79"/>
        <v>0</v>
      </c>
      <c r="AR163" s="95">
        <f t="shared" si="80"/>
        <v>0</v>
      </c>
      <c r="BC163" s="94">
        <v>159</v>
      </c>
      <c r="BD163" s="108" t="e">
        <f t="shared" si="81"/>
        <v>#N/A</v>
      </c>
      <c r="BE163" s="94" t="str">
        <f t="shared" si="88"/>
        <v/>
      </c>
      <c r="BF163" s="109" t="str">
        <f t="shared" si="82"/>
        <v/>
      </c>
      <c r="BG163" s="109" t="str">
        <f t="shared" si="83"/>
        <v/>
      </c>
      <c r="BH163" s="109" t="str">
        <f t="shared" si="84"/>
        <v/>
      </c>
      <c r="BI163" s="109" t="str">
        <f t="shared" si="85"/>
        <v/>
      </c>
      <c r="BJ163" s="109" t="e">
        <f t="shared" si="86"/>
        <v>#N/A</v>
      </c>
      <c r="BK163" s="96"/>
      <c r="BL163" s="96"/>
      <c r="BM163" s="96"/>
      <c r="BN163" s="96"/>
      <c r="BO163" s="96"/>
      <c r="BP163" s="96"/>
      <c r="BQ163" s="96"/>
      <c r="BR163" s="96"/>
    </row>
    <row r="164" spans="2:70" s="132" customFormat="1" ht="13.15" x14ac:dyDescent="0.4">
      <c r="B164" s="93">
        <v>160</v>
      </c>
      <c r="C164" s="116" t="str">
        <f t="shared" si="92"/>
        <v/>
      </c>
      <c r="AD164" s="130">
        <v>160</v>
      </c>
      <c r="AE164" s="106">
        <f t="shared" si="90"/>
        <v>26</v>
      </c>
      <c r="AF164" s="130">
        <f t="shared" si="89"/>
        <v>10.33</v>
      </c>
      <c r="AG164" s="95">
        <f t="shared" si="77"/>
        <v>12</v>
      </c>
      <c r="AH164" s="95">
        <f t="shared" si="78"/>
        <v>10</v>
      </c>
      <c r="AI164" s="131">
        <f t="shared" si="91"/>
        <v>10.378785896192221</v>
      </c>
      <c r="AJ164" s="131">
        <f t="shared" si="91"/>
        <v>10.631214103807773</v>
      </c>
      <c r="AK164" s="131">
        <f t="shared" si="91"/>
        <v>10.252571792384446</v>
      </c>
      <c r="AL164" s="131">
        <f t="shared" si="91"/>
        <v>10.757428207615549</v>
      </c>
      <c r="AM164" s="131">
        <f t="shared" si="91"/>
        <v>10.12635768857667</v>
      </c>
      <c r="AN164" s="131">
        <f t="shared" si="91"/>
        <v>10.883642311423325</v>
      </c>
      <c r="AO164" s="131">
        <f t="shared" si="91"/>
        <v>10.504999999999997</v>
      </c>
      <c r="AP164" s="130"/>
      <c r="AQ164" s="95">
        <f t="shared" si="79"/>
        <v>0</v>
      </c>
      <c r="AR164" s="95">
        <f t="shared" si="80"/>
        <v>0</v>
      </c>
      <c r="BC164" s="94">
        <v>160</v>
      </c>
      <c r="BD164" s="108" t="e">
        <f t="shared" si="81"/>
        <v>#N/A</v>
      </c>
      <c r="BE164" s="94" t="str">
        <f t="shared" si="88"/>
        <v/>
      </c>
      <c r="BF164" s="109" t="str">
        <f t="shared" si="82"/>
        <v/>
      </c>
      <c r="BG164" s="109" t="str">
        <f t="shared" si="83"/>
        <v/>
      </c>
      <c r="BH164" s="109" t="str">
        <f t="shared" si="84"/>
        <v/>
      </c>
      <c r="BI164" s="109" t="str">
        <f t="shared" si="85"/>
        <v/>
      </c>
      <c r="BJ164" s="109" t="e">
        <f t="shared" si="86"/>
        <v>#N/A</v>
      </c>
      <c r="BK164" s="96"/>
      <c r="BL164" s="96"/>
      <c r="BM164" s="96"/>
      <c r="BN164" s="96"/>
      <c r="BO164" s="96"/>
      <c r="BP164" s="96"/>
      <c r="BQ164" s="96"/>
      <c r="BR164" s="96"/>
    </row>
    <row r="165" spans="2:70" s="132" customFormat="1" ht="13.15" x14ac:dyDescent="0.4">
      <c r="B165" s="88">
        <v>161</v>
      </c>
      <c r="C165" s="116" t="str">
        <f t="shared" si="92"/>
        <v/>
      </c>
      <c r="AD165" s="130">
        <v>161</v>
      </c>
      <c r="AE165" s="106">
        <f t="shared" si="90"/>
        <v>26</v>
      </c>
      <c r="AF165" s="130">
        <f t="shared" si="89"/>
        <v>10.33</v>
      </c>
      <c r="AG165" s="95">
        <f t="shared" ref="AG165:AG196" si="93">IF(C165&lt;&gt;"",OGW,AG164)</f>
        <v>12</v>
      </c>
      <c r="AH165" s="95">
        <f t="shared" ref="AH165:AH196" si="94">IF(C165&lt;&gt;"",UGW,AH164)</f>
        <v>10</v>
      </c>
      <c r="AI165" s="131">
        <f t="shared" si="91"/>
        <v>10.378785896192221</v>
      </c>
      <c r="AJ165" s="131">
        <f t="shared" si="91"/>
        <v>10.631214103807773</v>
      </c>
      <c r="AK165" s="131">
        <f t="shared" si="91"/>
        <v>10.252571792384446</v>
      </c>
      <c r="AL165" s="131">
        <f t="shared" si="91"/>
        <v>10.757428207615549</v>
      </c>
      <c r="AM165" s="131">
        <f t="shared" si="91"/>
        <v>10.12635768857667</v>
      </c>
      <c r="AN165" s="131">
        <f t="shared" si="91"/>
        <v>10.883642311423325</v>
      </c>
      <c r="AO165" s="131">
        <f t="shared" si="91"/>
        <v>10.504999999999997</v>
      </c>
      <c r="AP165" s="130"/>
      <c r="AQ165" s="95">
        <f t="shared" ref="AQ165:AQ196" si="95">IF(AND(C165&lt;&gt;"",C165&lt;UGW),1,0)</f>
        <v>0</v>
      </c>
      <c r="AR165" s="95">
        <f t="shared" ref="AR165:AR196" si="96">IF(AND(C165&lt;&gt;"",C165&gt;OGW),1,0)</f>
        <v>0</v>
      </c>
      <c r="BC165" s="94">
        <v>161</v>
      </c>
      <c r="BD165" s="108" t="e">
        <f t="shared" ref="BD165:BD196" si="97">IF(C165="",NA(),SMALL(xi,BE165))</f>
        <v>#N/A</v>
      </c>
      <c r="BE165" s="94" t="str">
        <f t="shared" si="88"/>
        <v/>
      </c>
      <c r="BF165" s="109" t="str">
        <f t="shared" ref="BF165:BF196" si="98">IF(C165="","",NORMSDIST((BD165-Mittelwert)/Standardabweichung))</f>
        <v/>
      </c>
      <c r="BG165" s="109" t="str">
        <f t="shared" ref="BG165:BG196" si="99">IF(C165="","",1-BF165)</f>
        <v/>
      </c>
      <c r="BH165" s="109" t="str">
        <f t="shared" ref="BH165:BH196" si="100">IF(C165="","",SMALL(BG,BE165))</f>
        <v/>
      </c>
      <c r="BI165" s="109" t="str">
        <f t="shared" ref="BI165:BI196" si="101">IF(C165="","",(2*BE165-1)*(LN(BH165)+LN(BF165)))</f>
        <v/>
      </c>
      <c r="BJ165" s="109" t="e">
        <f t="shared" ref="BJ165:BJ196" si="102">IF(C165="",NA(),NORMSINV((BE165-0.3)/(Anzahl+0.4)))</f>
        <v>#N/A</v>
      </c>
      <c r="BK165" s="96"/>
      <c r="BL165" s="96"/>
      <c r="BM165" s="96"/>
      <c r="BN165" s="96"/>
      <c r="BO165" s="96"/>
      <c r="BP165" s="96"/>
      <c r="BQ165" s="96"/>
      <c r="BR165" s="96"/>
    </row>
    <row r="166" spans="2:70" s="132" customFormat="1" ht="13.15" x14ac:dyDescent="0.4">
      <c r="B166" s="93">
        <v>162</v>
      </c>
      <c r="C166" s="116" t="str">
        <f t="shared" si="92"/>
        <v/>
      </c>
      <c r="AD166" s="130">
        <v>162</v>
      </c>
      <c r="AE166" s="106">
        <f t="shared" si="90"/>
        <v>26</v>
      </c>
      <c r="AF166" s="130">
        <f t="shared" si="89"/>
        <v>10.33</v>
      </c>
      <c r="AG166" s="95">
        <f t="shared" si="93"/>
        <v>12</v>
      </c>
      <c r="AH166" s="95">
        <f t="shared" si="94"/>
        <v>10</v>
      </c>
      <c r="AI166" s="131">
        <f t="shared" ref="AI166:AO181" si="103">AI165</f>
        <v>10.378785896192221</v>
      </c>
      <c r="AJ166" s="131">
        <f t="shared" si="103"/>
        <v>10.631214103807773</v>
      </c>
      <c r="AK166" s="131">
        <f t="shared" si="103"/>
        <v>10.252571792384446</v>
      </c>
      <c r="AL166" s="131">
        <f t="shared" si="103"/>
        <v>10.757428207615549</v>
      </c>
      <c r="AM166" s="131">
        <f t="shared" si="103"/>
        <v>10.12635768857667</v>
      </c>
      <c r="AN166" s="131">
        <f t="shared" si="103"/>
        <v>10.883642311423325</v>
      </c>
      <c r="AO166" s="131">
        <f t="shared" si="103"/>
        <v>10.504999999999997</v>
      </c>
      <c r="AP166" s="130"/>
      <c r="AQ166" s="95">
        <f t="shared" si="95"/>
        <v>0</v>
      </c>
      <c r="AR166" s="95">
        <f t="shared" si="96"/>
        <v>0</v>
      </c>
      <c r="BC166" s="94">
        <v>162</v>
      </c>
      <c r="BD166" s="108" t="e">
        <f t="shared" si="97"/>
        <v>#N/A</v>
      </c>
      <c r="BE166" s="94" t="str">
        <f t="shared" ref="BE166:BE197" si="104">IF(C166="","",1+BE165)</f>
        <v/>
      </c>
      <c r="BF166" s="109" t="str">
        <f t="shared" si="98"/>
        <v/>
      </c>
      <c r="BG166" s="109" t="str">
        <f t="shared" si="99"/>
        <v/>
      </c>
      <c r="BH166" s="109" t="str">
        <f t="shared" si="100"/>
        <v/>
      </c>
      <c r="BI166" s="109" t="str">
        <f t="shared" si="101"/>
        <v/>
      </c>
      <c r="BJ166" s="109" t="e">
        <f t="shared" si="102"/>
        <v>#N/A</v>
      </c>
      <c r="BK166" s="96"/>
      <c r="BL166" s="96"/>
      <c r="BM166" s="96"/>
      <c r="BN166" s="96"/>
      <c r="BO166" s="96"/>
      <c r="BP166" s="96"/>
      <c r="BQ166" s="96"/>
      <c r="BR166" s="96"/>
    </row>
    <row r="167" spans="2:70" s="132" customFormat="1" ht="13.15" x14ac:dyDescent="0.4">
      <c r="B167" s="88">
        <v>163</v>
      </c>
      <c r="C167" s="116" t="str">
        <f t="shared" si="92"/>
        <v/>
      </c>
      <c r="AD167" s="130">
        <v>163</v>
      </c>
      <c r="AE167" s="106">
        <f t="shared" si="90"/>
        <v>26</v>
      </c>
      <c r="AF167" s="130">
        <f t="shared" si="89"/>
        <v>10.33</v>
      </c>
      <c r="AG167" s="95">
        <f t="shared" si="93"/>
        <v>12</v>
      </c>
      <c r="AH167" s="95">
        <f t="shared" si="94"/>
        <v>10</v>
      </c>
      <c r="AI167" s="131">
        <f t="shared" si="103"/>
        <v>10.378785896192221</v>
      </c>
      <c r="AJ167" s="131">
        <f t="shared" si="103"/>
        <v>10.631214103807773</v>
      </c>
      <c r="AK167" s="131">
        <f t="shared" si="103"/>
        <v>10.252571792384446</v>
      </c>
      <c r="AL167" s="131">
        <f t="shared" si="103"/>
        <v>10.757428207615549</v>
      </c>
      <c r="AM167" s="131">
        <f t="shared" si="103"/>
        <v>10.12635768857667</v>
      </c>
      <c r="AN167" s="131">
        <f t="shared" si="103"/>
        <v>10.883642311423325</v>
      </c>
      <c r="AO167" s="131">
        <f t="shared" si="103"/>
        <v>10.504999999999997</v>
      </c>
      <c r="AP167" s="130"/>
      <c r="AQ167" s="95">
        <f t="shared" si="95"/>
        <v>0</v>
      </c>
      <c r="AR167" s="95">
        <f t="shared" si="96"/>
        <v>0</v>
      </c>
      <c r="BC167" s="94">
        <v>163</v>
      </c>
      <c r="BD167" s="108" t="e">
        <f t="shared" si="97"/>
        <v>#N/A</v>
      </c>
      <c r="BE167" s="94" t="str">
        <f t="shared" si="104"/>
        <v/>
      </c>
      <c r="BF167" s="109" t="str">
        <f t="shared" si="98"/>
        <v/>
      </c>
      <c r="BG167" s="109" t="str">
        <f t="shared" si="99"/>
        <v/>
      </c>
      <c r="BH167" s="109" t="str">
        <f t="shared" si="100"/>
        <v/>
      </c>
      <c r="BI167" s="109" t="str">
        <f t="shared" si="101"/>
        <v/>
      </c>
      <c r="BJ167" s="109" t="e">
        <f t="shared" si="102"/>
        <v>#N/A</v>
      </c>
      <c r="BK167" s="96"/>
      <c r="BL167" s="96"/>
      <c r="BM167" s="96"/>
      <c r="BN167" s="96"/>
      <c r="BO167" s="96"/>
      <c r="BP167" s="96"/>
      <c r="BQ167" s="96"/>
      <c r="BR167" s="96"/>
    </row>
    <row r="168" spans="2:70" s="132" customFormat="1" ht="13.15" x14ac:dyDescent="0.4">
      <c r="B168" s="93">
        <v>164</v>
      </c>
      <c r="C168" s="116" t="str">
        <f t="shared" si="92"/>
        <v/>
      </c>
      <c r="AD168" s="130">
        <v>164</v>
      </c>
      <c r="AE168" s="106">
        <f t="shared" si="90"/>
        <v>26</v>
      </c>
      <c r="AF168" s="130">
        <f t="shared" si="89"/>
        <v>10.33</v>
      </c>
      <c r="AG168" s="95">
        <f t="shared" si="93"/>
        <v>12</v>
      </c>
      <c r="AH168" s="95">
        <f t="shared" si="94"/>
        <v>10</v>
      </c>
      <c r="AI168" s="131">
        <f t="shared" si="103"/>
        <v>10.378785896192221</v>
      </c>
      <c r="AJ168" s="131">
        <f t="shared" si="103"/>
        <v>10.631214103807773</v>
      </c>
      <c r="AK168" s="131">
        <f t="shared" si="103"/>
        <v>10.252571792384446</v>
      </c>
      <c r="AL168" s="131">
        <f t="shared" si="103"/>
        <v>10.757428207615549</v>
      </c>
      <c r="AM168" s="131">
        <f t="shared" si="103"/>
        <v>10.12635768857667</v>
      </c>
      <c r="AN168" s="131">
        <f t="shared" si="103"/>
        <v>10.883642311423325</v>
      </c>
      <c r="AO168" s="131">
        <f t="shared" si="103"/>
        <v>10.504999999999997</v>
      </c>
      <c r="AP168" s="130"/>
      <c r="AQ168" s="95">
        <f t="shared" si="95"/>
        <v>0</v>
      </c>
      <c r="AR168" s="95">
        <f t="shared" si="96"/>
        <v>0</v>
      </c>
      <c r="BC168" s="94">
        <v>164</v>
      </c>
      <c r="BD168" s="108" t="e">
        <f t="shared" si="97"/>
        <v>#N/A</v>
      </c>
      <c r="BE168" s="94" t="str">
        <f t="shared" si="104"/>
        <v/>
      </c>
      <c r="BF168" s="109" t="str">
        <f t="shared" si="98"/>
        <v/>
      </c>
      <c r="BG168" s="109" t="str">
        <f t="shared" si="99"/>
        <v/>
      </c>
      <c r="BH168" s="109" t="str">
        <f t="shared" si="100"/>
        <v/>
      </c>
      <c r="BI168" s="109" t="str">
        <f t="shared" si="101"/>
        <v/>
      </c>
      <c r="BJ168" s="109" t="e">
        <f t="shared" si="102"/>
        <v>#N/A</v>
      </c>
      <c r="BK168" s="96"/>
      <c r="BL168" s="96"/>
      <c r="BM168" s="96"/>
      <c r="BN168" s="96"/>
      <c r="BO168" s="96"/>
      <c r="BP168" s="96"/>
      <c r="BQ168" s="96"/>
      <c r="BR168" s="96"/>
    </row>
    <row r="169" spans="2:70" s="132" customFormat="1" ht="13.15" x14ac:dyDescent="0.4">
      <c r="B169" s="88">
        <v>165</v>
      </c>
      <c r="C169" s="116" t="str">
        <f t="shared" si="92"/>
        <v/>
      </c>
      <c r="AD169" s="130">
        <v>165</v>
      </c>
      <c r="AE169" s="106">
        <f t="shared" ref="AE169:AE200" si="105">IF((Anzahl&gt;AD169),AD169,Anzahl)</f>
        <v>26</v>
      </c>
      <c r="AF169" s="130">
        <f t="shared" si="89"/>
        <v>10.33</v>
      </c>
      <c r="AG169" s="95">
        <f t="shared" si="93"/>
        <v>12</v>
      </c>
      <c r="AH169" s="95">
        <f t="shared" si="94"/>
        <v>10</v>
      </c>
      <c r="AI169" s="131">
        <f t="shared" si="103"/>
        <v>10.378785896192221</v>
      </c>
      <c r="AJ169" s="131">
        <f t="shared" si="103"/>
        <v>10.631214103807773</v>
      </c>
      <c r="AK169" s="131">
        <f t="shared" si="103"/>
        <v>10.252571792384446</v>
      </c>
      <c r="AL169" s="131">
        <f t="shared" si="103"/>
        <v>10.757428207615549</v>
      </c>
      <c r="AM169" s="131">
        <f t="shared" si="103"/>
        <v>10.12635768857667</v>
      </c>
      <c r="AN169" s="131">
        <f t="shared" si="103"/>
        <v>10.883642311423325</v>
      </c>
      <c r="AO169" s="131">
        <f t="shared" si="103"/>
        <v>10.504999999999997</v>
      </c>
      <c r="AP169" s="130"/>
      <c r="AQ169" s="95">
        <f t="shared" si="95"/>
        <v>0</v>
      </c>
      <c r="AR169" s="95">
        <f t="shared" si="96"/>
        <v>0</v>
      </c>
      <c r="BC169" s="94">
        <v>165</v>
      </c>
      <c r="BD169" s="108" t="e">
        <f t="shared" si="97"/>
        <v>#N/A</v>
      </c>
      <c r="BE169" s="94" t="str">
        <f t="shared" si="104"/>
        <v/>
      </c>
      <c r="BF169" s="109" t="str">
        <f t="shared" si="98"/>
        <v/>
      </c>
      <c r="BG169" s="109" t="str">
        <f t="shared" si="99"/>
        <v/>
      </c>
      <c r="BH169" s="109" t="str">
        <f t="shared" si="100"/>
        <v/>
      </c>
      <c r="BI169" s="109" t="str">
        <f t="shared" si="101"/>
        <v/>
      </c>
      <c r="BJ169" s="109" t="e">
        <f t="shared" si="102"/>
        <v>#N/A</v>
      </c>
      <c r="BK169" s="96"/>
      <c r="BL169" s="96"/>
      <c r="BM169" s="96"/>
      <c r="BN169" s="96"/>
      <c r="BO169" s="96"/>
      <c r="BP169" s="96"/>
      <c r="BQ169" s="96"/>
      <c r="BR169" s="96"/>
    </row>
    <row r="170" spans="2:70" s="132" customFormat="1" ht="13.15" x14ac:dyDescent="0.4">
      <c r="B170" s="93">
        <v>166</v>
      </c>
      <c r="C170" s="116" t="str">
        <f t="shared" si="92"/>
        <v/>
      </c>
      <c r="AD170" s="130">
        <v>166</v>
      </c>
      <c r="AE170" s="106">
        <f t="shared" si="105"/>
        <v>26</v>
      </c>
      <c r="AF170" s="130">
        <f t="shared" si="89"/>
        <v>10.33</v>
      </c>
      <c r="AG170" s="95">
        <f t="shared" si="93"/>
        <v>12</v>
      </c>
      <c r="AH170" s="95">
        <f t="shared" si="94"/>
        <v>10</v>
      </c>
      <c r="AI170" s="131">
        <f t="shared" si="103"/>
        <v>10.378785896192221</v>
      </c>
      <c r="AJ170" s="131">
        <f t="shared" si="103"/>
        <v>10.631214103807773</v>
      </c>
      <c r="AK170" s="131">
        <f t="shared" si="103"/>
        <v>10.252571792384446</v>
      </c>
      <c r="AL170" s="131">
        <f t="shared" si="103"/>
        <v>10.757428207615549</v>
      </c>
      <c r="AM170" s="131">
        <f t="shared" si="103"/>
        <v>10.12635768857667</v>
      </c>
      <c r="AN170" s="131">
        <f t="shared" si="103"/>
        <v>10.883642311423325</v>
      </c>
      <c r="AO170" s="131">
        <f t="shared" si="103"/>
        <v>10.504999999999997</v>
      </c>
      <c r="AP170" s="130"/>
      <c r="AQ170" s="95">
        <f t="shared" si="95"/>
        <v>0</v>
      </c>
      <c r="AR170" s="95">
        <f t="shared" si="96"/>
        <v>0</v>
      </c>
      <c r="BC170" s="94">
        <v>166</v>
      </c>
      <c r="BD170" s="108" t="e">
        <f t="shared" si="97"/>
        <v>#N/A</v>
      </c>
      <c r="BE170" s="94" t="str">
        <f t="shared" si="104"/>
        <v/>
      </c>
      <c r="BF170" s="109" t="str">
        <f t="shared" si="98"/>
        <v/>
      </c>
      <c r="BG170" s="109" t="str">
        <f t="shared" si="99"/>
        <v/>
      </c>
      <c r="BH170" s="109" t="str">
        <f t="shared" si="100"/>
        <v/>
      </c>
      <c r="BI170" s="109" t="str">
        <f t="shared" si="101"/>
        <v/>
      </c>
      <c r="BJ170" s="109" t="e">
        <f t="shared" si="102"/>
        <v>#N/A</v>
      </c>
      <c r="BK170" s="96"/>
      <c r="BL170" s="96"/>
      <c r="BM170" s="96"/>
      <c r="BN170" s="96"/>
      <c r="BO170" s="96"/>
      <c r="BP170" s="96"/>
      <c r="BQ170" s="96"/>
      <c r="BR170" s="96"/>
    </row>
    <row r="171" spans="2:70" s="132" customFormat="1" ht="13.15" x14ac:dyDescent="0.4">
      <c r="B171" s="88">
        <v>167</v>
      </c>
      <c r="C171" s="116" t="str">
        <f t="shared" si="92"/>
        <v/>
      </c>
      <c r="AD171" s="130">
        <v>167</v>
      </c>
      <c r="AE171" s="106">
        <f t="shared" si="105"/>
        <v>26</v>
      </c>
      <c r="AF171" s="130">
        <f t="shared" si="89"/>
        <v>10.33</v>
      </c>
      <c r="AG171" s="95">
        <f t="shared" si="93"/>
        <v>12</v>
      </c>
      <c r="AH171" s="95">
        <f t="shared" si="94"/>
        <v>10</v>
      </c>
      <c r="AI171" s="131">
        <f t="shared" si="103"/>
        <v>10.378785896192221</v>
      </c>
      <c r="AJ171" s="131">
        <f t="shared" si="103"/>
        <v>10.631214103807773</v>
      </c>
      <c r="AK171" s="131">
        <f t="shared" si="103"/>
        <v>10.252571792384446</v>
      </c>
      <c r="AL171" s="131">
        <f t="shared" si="103"/>
        <v>10.757428207615549</v>
      </c>
      <c r="AM171" s="131">
        <f t="shared" si="103"/>
        <v>10.12635768857667</v>
      </c>
      <c r="AN171" s="131">
        <f t="shared" si="103"/>
        <v>10.883642311423325</v>
      </c>
      <c r="AO171" s="131">
        <f t="shared" si="103"/>
        <v>10.504999999999997</v>
      </c>
      <c r="AP171" s="130"/>
      <c r="AQ171" s="95">
        <f t="shared" si="95"/>
        <v>0</v>
      </c>
      <c r="AR171" s="95">
        <f t="shared" si="96"/>
        <v>0</v>
      </c>
      <c r="BC171" s="94">
        <v>167</v>
      </c>
      <c r="BD171" s="108" t="e">
        <f t="shared" si="97"/>
        <v>#N/A</v>
      </c>
      <c r="BE171" s="94" t="str">
        <f t="shared" si="104"/>
        <v/>
      </c>
      <c r="BF171" s="109" t="str">
        <f t="shared" si="98"/>
        <v/>
      </c>
      <c r="BG171" s="109" t="str">
        <f t="shared" si="99"/>
        <v/>
      </c>
      <c r="BH171" s="109" t="str">
        <f t="shared" si="100"/>
        <v/>
      </c>
      <c r="BI171" s="109" t="str">
        <f t="shared" si="101"/>
        <v/>
      </c>
      <c r="BJ171" s="109" t="e">
        <f t="shared" si="102"/>
        <v>#N/A</v>
      </c>
      <c r="BK171" s="96"/>
      <c r="BL171" s="96"/>
      <c r="BM171" s="96"/>
      <c r="BN171" s="96"/>
      <c r="BO171" s="96"/>
      <c r="BP171" s="96"/>
      <c r="BQ171" s="96"/>
      <c r="BR171" s="96"/>
    </row>
    <row r="172" spans="2:70" s="132" customFormat="1" ht="13.15" x14ac:dyDescent="0.4">
      <c r="B172" s="93">
        <v>168</v>
      </c>
      <c r="C172" s="116" t="str">
        <f t="shared" si="92"/>
        <v/>
      </c>
      <c r="AD172" s="130">
        <v>168</v>
      </c>
      <c r="AE172" s="106">
        <f t="shared" si="105"/>
        <v>26</v>
      </c>
      <c r="AF172" s="130">
        <f t="shared" si="89"/>
        <v>10.33</v>
      </c>
      <c r="AG172" s="95">
        <f t="shared" si="93"/>
        <v>12</v>
      </c>
      <c r="AH172" s="95">
        <f t="shared" si="94"/>
        <v>10</v>
      </c>
      <c r="AI172" s="131">
        <f t="shared" si="103"/>
        <v>10.378785896192221</v>
      </c>
      <c r="AJ172" s="131">
        <f t="shared" si="103"/>
        <v>10.631214103807773</v>
      </c>
      <c r="AK172" s="131">
        <f t="shared" si="103"/>
        <v>10.252571792384446</v>
      </c>
      <c r="AL172" s="131">
        <f t="shared" si="103"/>
        <v>10.757428207615549</v>
      </c>
      <c r="AM172" s="131">
        <f t="shared" si="103"/>
        <v>10.12635768857667</v>
      </c>
      <c r="AN172" s="131">
        <f t="shared" si="103"/>
        <v>10.883642311423325</v>
      </c>
      <c r="AO172" s="131">
        <f t="shared" si="103"/>
        <v>10.504999999999997</v>
      </c>
      <c r="AP172" s="130"/>
      <c r="AQ172" s="95">
        <f t="shared" si="95"/>
        <v>0</v>
      </c>
      <c r="AR172" s="95">
        <f t="shared" si="96"/>
        <v>0</v>
      </c>
      <c r="BC172" s="94">
        <v>168</v>
      </c>
      <c r="BD172" s="108" t="e">
        <f t="shared" si="97"/>
        <v>#N/A</v>
      </c>
      <c r="BE172" s="94" t="str">
        <f t="shared" si="104"/>
        <v/>
      </c>
      <c r="BF172" s="109" t="str">
        <f t="shared" si="98"/>
        <v/>
      </c>
      <c r="BG172" s="109" t="str">
        <f t="shared" si="99"/>
        <v/>
      </c>
      <c r="BH172" s="109" t="str">
        <f t="shared" si="100"/>
        <v/>
      </c>
      <c r="BI172" s="109" t="str">
        <f t="shared" si="101"/>
        <v/>
      </c>
      <c r="BJ172" s="109" t="e">
        <f t="shared" si="102"/>
        <v>#N/A</v>
      </c>
      <c r="BK172" s="96"/>
      <c r="BL172" s="96"/>
      <c r="BM172" s="96"/>
      <c r="BN172" s="96"/>
      <c r="BO172" s="96"/>
      <c r="BP172" s="96"/>
      <c r="BQ172" s="96"/>
      <c r="BR172" s="96"/>
    </row>
    <row r="173" spans="2:70" s="132" customFormat="1" ht="13.15" x14ac:dyDescent="0.4">
      <c r="B173" s="88">
        <v>169</v>
      </c>
      <c r="C173" s="116" t="str">
        <f t="shared" si="92"/>
        <v/>
      </c>
      <c r="AD173" s="130">
        <v>169</v>
      </c>
      <c r="AE173" s="106">
        <f t="shared" si="105"/>
        <v>26</v>
      </c>
      <c r="AF173" s="130">
        <f t="shared" si="89"/>
        <v>10.33</v>
      </c>
      <c r="AG173" s="95">
        <f t="shared" si="93"/>
        <v>12</v>
      </c>
      <c r="AH173" s="95">
        <f t="shared" si="94"/>
        <v>10</v>
      </c>
      <c r="AI173" s="131">
        <f t="shared" si="103"/>
        <v>10.378785896192221</v>
      </c>
      <c r="AJ173" s="131">
        <f t="shared" si="103"/>
        <v>10.631214103807773</v>
      </c>
      <c r="AK173" s="131">
        <f t="shared" si="103"/>
        <v>10.252571792384446</v>
      </c>
      <c r="AL173" s="131">
        <f t="shared" si="103"/>
        <v>10.757428207615549</v>
      </c>
      <c r="AM173" s="131">
        <f t="shared" si="103"/>
        <v>10.12635768857667</v>
      </c>
      <c r="AN173" s="131">
        <f t="shared" si="103"/>
        <v>10.883642311423325</v>
      </c>
      <c r="AO173" s="131">
        <f t="shared" si="103"/>
        <v>10.504999999999997</v>
      </c>
      <c r="AP173" s="130"/>
      <c r="AQ173" s="95">
        <f t="shared" si="95"/>
        <v>0</v>
      </c>
      <c r="AR173" s="95">
        <f t="shared" si="96"/>
        <v>0</v>
      </c>
      <c r="BC173" s="94">
        <v>169</v>
      </c>
      <c r="BD173" s="108" t="e">
        <f t="shared" si="97"/>
        <v>#N/A</v>
      </c>
      <c r="BE173" s="94" t="str">
        <f t="shared" si="104"/>
        <v/>
      </c>
      <c r="BF173" s="109" t="str">
        <f t="shared" si="98"/>
        <v/>
      </c>
      <c r="BG173" s="109" t="str">
        <f t="shared" si="99"/>
        <v/>
      </c>
      <c r="BH173" s="109" t="str">
        <f t="shared" si="100"/>
        <v/>
      </c>
      <c r="BI173" s="109" t="str">
        <f t="shared" si="101"/>
        <v/>
      </c>
      <c r="BJ173" s="109" t="e">
        <f t="shared" si="102"/>
        <v>#N/A</v>
      </c>
      <c r="BK173" s="96"/>
      <c r="BL173" s="96"/>
      <c r="BM173" s="96"/>
      <c r="BN173" s="96"/>
      <c r="BO173" s="96"/>
      <c r="BP173" s="96"/>
      <c r="BQ173" s="96"/>
      <c r="BR173" s="96"/>
    </row>
    <row r="174" spans="2:70" s="132" customFormat="1" ht="13.15" x14ac:dyDescent="0.4">
      <c r="B174" s="93">
        <v>170</v>
      </c>
      <c r="C174" s="116" t="str">
        <f t="shared" si="92"/>
        <v/>
      </c>
      <c r="AD174" s="130">
        <v>170</v>
      </c>
      <c r="AE174" s="106">
        <f t="shared" si="105"/>
        <v>26</v>
      </c>
      <c r="AF174" s="130">
        <f t="shared" si="89"/>
        <v>10.33</v>
      </c>
      <c r="AG174" s="95">
        <f t="shared" si="93"/>
        <v>12</v>
      </c>
      <c r="AH174" s="95">
        <f t="shared" si="94"/>
        <v>10</v>
      </c>
      <c r="AI174" s="131">
        <f t="shared" si="103"/>
        <v>10.378785896192221</v>
      </c>
      <c r="AJ174" s="131">
        <f t="shared" si="103"/>
        <v>10.631214103807773</v>
      </c>
      <c r="AK174" s="131">
        <f t="shared" si="103"/>
        <v>10.252571792384446</v>
      </c>
      <c r="AL174" s="131">
        <f t="shared" si="103"/>
        <v>10.757428207615549</v>
      </c>
      <c r="AM174" s="131">
        <f t="shared" si="103"/>
        <v>10.12635768857667</v>
      </c>
      <c r="AN174" s="131">
        <f t="shared" si="103"/>
        <v>10.883642311423325</v>
      </c>
      <c r="AO174" s="131">
        <f t="shared" si="103"/>
        <v>10.504999999999997</v>
      </c>
      <c r="AP174" s="130"/>
      <c r="AQ174" s="95">
        <f t="shared" si="95"/>
        <v>0</v>
      </c>
      <c r="AR174" s="95">
        <f t="shared" si="96"/>
        <v>0</v>
      </c>
      <c r="BC174" s="94">
        <v>170</v>
      </c>
      <c r="BD174" s="108" t="e">
        <f t="shared" si="97"/>
        <v>#N/A</v>
      </c>
      <c r="BE174" s="94" t="str">
        <f t="shared" si="104"/>
        <v/>
      </c>
      <c r="BF174" s="109" t="str">
        <f t="shared" si="98"/>
        <v/>
      </c>
      <c r="BG174" s="109" t="str">
        <f t="shared" si="99"/>
        <v/>
      </c>
      <c r="BH174" s="109" t="str">
        <f t="shared" si="100"/>
        <v/>
      </c>
      <c r="BI174" s="109" t="str">
        <f t="shared" si="101"/>
        <v/>
      </c>
      <c r="BJ174" s="109" t="e">
        <f t="shared" si="102"/>
        <v>#N/A</v>
      </c>
      <c r="BK174" s="96"/>
      <c r="BL174" s="96"/>
      <c r="BM174" s="96"/>
      <c r="BN174" s="96"/>
      <c r="BO174" s="96"/>
      <c r="BP174" s="96"/>
      <c r="BQ174" s="96"/>
      <c r="BR174" s="96"/>
    </row>
    <row r="175" spans="2:70" s="132" customFormat="1" ht="13.15" x14ac:dyDescent="0.4">
      <c r="B175" s="88">
        <v>171</v>
      </c>
      <c r="C175" s="116" t="str">
        <f t="shared" si="92"/>
        <v/>
      </c>
      <c r="AD175" s="130">
        <v>171</v>
      </c>
      <c r="AE175" s="106">
        <f t="shared" si="105"/>
        <v>26</v>
      </c>
      <c r="AF175" s="130">
        <f t="shared" si="89"/>
        <v>10.33</v>
      </c>
      <c r="AG175" s="95">
        <f t="shared" si="93"/>
        <v>12</v>
      </c>
      <c r="AH175" s="95">
        <f t="shared" si="94"/>
        <v>10</v>
      </c>
      <c r="AI175" s="131">
        <f t="shared" si="103"/>
        <v>10.378785896192221</v>
      </c>
      <c r="AJ175" s="131">
        <f t="shared" si="103"/>
        <v>10.631214103807773</v>
      </c>
      <c r="AK175" s="131">
        <f t="shared" si="103"/>
        <v>10.252571792384446</v>
      </c>
      <c r="AL175" s="131">
        <f t="shared" si="103"/>
        <v>10.757428207615549</v>
      </c>
      <c r="AM175" s="131">
        <f t="shared" si="103"/>
        <v>10.12635768857667</v>
      </c>
      <c r="AN175" s="131">
        <f t="shared" si="103"/>
        <v>10.883642311423325</v>
      </c>
      <c r="AO175" s="131">
        <f t="shared" si="103"/>
        <v>10.504999999999997</v>
      </c>
      <c r="AP175" s="130"/>
      <c r="AQ175" s="95">
        <f t="shared" si="95"/>
        <v>0</v>
      </c>
      <c r="AR175" s="95">
        <f t="shared" si="96"/>
        <v>0</v>
      </c>
      <c r="BC175" s="94">
        <v>171</v>
      </c>
      <c r="BD175" s="108" t="e">
        <f t="shared" si="97"/>
        <v>#N/A</v>
      </c>
      <c r="BE175" s="94" t="str">
        <f t="shared" si="104"/>
        <v/>
      </c>
      <c r="BF175" s="109" t="str">
        <f t="shared" si="98"/>
        <v/>
      </c>
      <c r="BG175" s="109" t="str">
        <f t="shared" si="99"/>
        <v/>
      </c>
      <c r="BH175" s="109" t="str">
        <f t="shared" si="100"/>
        <v/>
      </c>
      <c r="BI175" s="109" t="str">
        <f t="shared" si="101"/>
        <v/>
      </c>
      <c r="BJ175" s="109" t="e">
        <f t="shared" si="102"/>
        <v>#N/A</v>
      </c>
      <c r="BK175" s="96"/>
      <c r="BL175" s="96"/>
      <c r="BM175" s="96"/>
      <c r="BN175" s="96"/>
      <c r="BO175" s="96"/>
      <c r="BP175" s="96"/>
      <c r="BQ175" s="96"/>
      <c r="BR175" s="96"/>
    </row>
    <row r="176" spans="2:70" s="132" customFormat="1" ht="13.15" x14ac:dyDescent="0.4">
      <c r="B176" s="93">
        <v>172</v>
      </c>
      <c r="C176" s="116" t="str">
        <f t="shared" si="92"/>
        <v/>
      </c>
      <c r="AD176" s="130">
        <v>172</v>
      </c>
      <c r="AE176" s="106">
        <f t="shared" si="105"/>
        <v>26</v>
      </c>
      <c r="AF176" s="130">
        <f t="shared" si="89"/>
        <v>10.33</v>
      </c>
      <c r="AG176" s="95">
        <f t="shared" si="93"/>
        <v>12</v>
      </c>
      <c r="AH176" s="95">
        <f t="shared" si="94"/>
        <v>10</v>
      </c>
      <c r="AI176" s="131">
        <f t="shared" si="103"/>
        <v>10.378785896192221</v>
      </c>
      <c r="AJ176" s="131">
        <f t="shared" si="103"/>
        <v>10.631214103807773</v>
      </c>
      <c r="AK176" s="131">
        <f t="shared" si="103"/>
        <v>10.252571792384446</v>
      </c>
      <c r="AL176" s="131">
        <f t="shared" si="103"/>
        <v>10.757428207615549</v>
      </c>
      <c r="AM176" s="131">
        <f t="shared" si="103"/>
        <v>10.12635768857667</v>
      </c>
      <c r="AN176" s="131">
        <f t="shared" si="103"/>
        <v>10.883642311423325</v>
      </c>
      <c r="AO176" s="131">
        <f t="shared" si="103"/>
        <v>10.504999999999997</v>
      </c>
      <c r="AP176" s="130"/>
      <c r="AQ176" s="95">
        <f t="shared" si="95"/>
        <v>0</v>
      </c>
      <c r="AR176" s="95">
        <f t="shared" si="96"/>
        <v>0</v>
      </c>
      <c r="BC176" s="94">
        <v>172</v>
      </c>
      <c r="BD176" s="108" t="e">
        <f t="shared" si="97"/>
        <v>#N/A</v>
      </c>
      <c r="BE176" s="94" t="str">
        <f t="shared" si="104"/>
        <v/>
      </c>
      <c r="BF176" s="109" t="str">
        <f t="shared" si="98"/>
        <v/>
      </c>
      <c r="BG176" s="109" t="str">
        <f t="shared" si="99"/>
        <v/>
      </c>
      <c r="BH176" s="109" t="str">
        <f t="shared" si="100"/>
        <v/>
      </c>
      <c r="BI176" s="109" t="str">
        <f t="shared" si="101"/>
        <v/>
      </c>
      <c r="BJ176" s="109" t="e">
        <f t="shared" si="102"/>
        <v>#N/A</v>
      </c>
      <c r="BK176" s="96"/>
      <c r="BL176" s="96"/>
      <c r="BM176" s="96"/>
      <c r="BN176" s="96"/>
      <c r="BO176" s="96"/>
      <c r="BP176" s="96"/>
      <c r="BQ176" s="96"/>
      <c r="BR176" s="96"/>
    </row>
    <row r="177" spans="2:70" s="132" customFormat="1" ht="13.15" x14ac:dyDescent="0.4">
      <c r="B177" s="88">
        <v>173</v>
      </c>
      <c r="C177" s="116" t="str">
        <f t="shared" si="92"/>
        <v/>
      </c>
      <c r="AD177" s="130">
        <v>173</v>
      </c>
      <c r="AE177" s="106">
        <f t="shared" si="105"/>
        <v>26</v>
      </c>
      <c r="AF177" s="130">
        <f t="shared" si="89"/>
        <v>10.33</v>
      </c>
      <c r="AG177" s="95">
        <f t="shared" si="93"/>
        <v>12</v>
      </c>
      <c r="AH177" s="95">
        <f t="shared" si="94"/>
        <v>10</v>
      </c>
      <c r="AI177" s="131">
        <f t="shared" si="103"/>
        <v>10.378785896192221</v>
      </c>
      <c r="AJ177" s="131">
        <f t="shared" si="103"/>
        <v>10.631214103807773</v>
      </c>
      <c r="AK177" s="131">
        <f t="shared" si="103"/>
        <v>10.252571792384446</v>
      </c>
      <c r="AL177" s="131">
        <f t="shared" si="103"/>
        <v>10.757428207615549</v>
      </c>
      <c r="AM177" s="131">
        <f t="shared" si="103"/>
        <v>10.12635768857667</v>
      </c>
      <c r="AN177" s="131">
        <f t="shared" si="103"/>
        <v>10.883642311423325</v>
      </c>
      <c r="AO177" s="131">
        <f t="shared" si="103"/>
        <v>10.504999999999997</v>
      </c>
      <c r="AP177" s="130"/>
      <c r="AQ177" s="95">
        <f t="shared" si="95"/>
        <v>0</v>
      </c>
      <c r="AR177" s="95">
        <f t="shared" si="96"/>
        <v>0</v>
      </c>
      <c r="BC177" s="94">
        <v>173</v>
      </c>
      <c r="BD177" s="108" t="e">
        <f t="shared" si="97"/>
        <v>#N/A</v>
      </c>
      <c r="BE177" s="94" t="str">
        <f t="shared" si="104"/>
        <v/>
      </c>
      <c r="BF177" s="109" t="str">
        <f t="shared" si="98"/>
        <v/>
      </c>
      <c r="BG177" s="109" t="str">
        <f t="shared" si="99"/>
        <v/>
      </c>
      <c r="BH177" s="109" t="str">
        <f t="shared" si="100"/>
        <v/>
      </c>
      <c r="BI177" s="109" t="str">
        <f t="shared" si="101"/>
        <v/>
      </c>
      <c r="BJ177" s="109" t="e">
        <f t="shared" si="102"/>
        <v>#N/A</v>
      </c>
      <c r="BK177" s="96"/>
      <c r="BL177" s="96"/>
      <c r="BM177" s="96"/>
      <c r="BN177" s="96"/>
      <c r="BO177" s="96"/>
      <c r="BP177" s="96"/>
      <c r="BQ177" s="96"/>
      <c r="BR177" s="96"/>
    </row>
    <row r="178" spans="2:70" s="132" customFormat="1" ht="13.15" x14ac:dyDescent="0.4">
      <c r="B178" s="93">
        <v>174</v>
      </c>
      <c r="C178" s="116" t="str">
        <f t="shared" si="92"/>
        <v/>
      </c>
      <c r="AD178" s="130">
        <v>174</v>
      </c>
      <c r="AE178" s="106">
        <f t="shared" si="105"/>
        <v>26</v>
      </c>
      <c r="AF178" s="130">
        <f t="shared" si="89"/>
        <v>10.33</v>
      </c>
      <c r="AG178" s="95">
        <f t="shared" si="93"/>
        <v>12</v>
      </c>
      <c r="AH178" s="95">
        <f t="shared" si="94"/>
        <v>10</v>
      </c>
      <c r="AI178" s="131">
        <f t="shared" si="103"/>
        <v>10.378785896192221</v>
      </c>
      <c r="AJ178" s="131">
        <f t="shared" si="103"/>
        <v>10.631214103807773</v>
      </c>
      <c r="AK178" s="131">
        <f t="shared" si="103"/>
        <v>10.252571792384446</v>
      </c>
      <c r="AL178" s="131">
        <f t="shared" si="103"/>
        <v>10.757428207615549</v>
      </c>
      <c r="AM178" s="131">
        <f t="shared" si="103"/>
        <v>10.12635768857667</v>
      </c>
      <c r="AN178" s="131">
        <f t="shared" si="103"/>
        <v>10.883642311423325</v>
      </c>
      <c r="AO178" s="131">
        <f t="shared" si="103"/>
        <v>10.504999999999997</v>
      </c>
      <c r="AP178" s="130"/>
      <c r="AQ178" s="95">
        <f t="shared" si="95"/>
        <v>0</v>
      </c>
      <c r="AR178" s="95">
        <f t="shared" si="96"/>
        <v>0</v>
      </c>
      <c r="BC178" s="94">
        <v>174</v>
      </c>
      <c r="BD178" s="108" t="e">
        <f t="shared" si="97"/>
        <v>#N/A</v>
      </c>
      <c r="BE178" s="94" t="str">
        <f t="shared" si="104"/>
        <v/>
      </c>
      <c r="BF178" s="109" t="str">
        <f t="shared" si="98"/>
        <v/>
      </c>
      <c r="BG178" s="109" t="str">
        <f t="shared" si="99"/>
        <v/>
      </c>
      <c r="BH178" s="109" t="str">
        <f t="shared" si="100"/>
        <v/>
      </c>
      <c r="BI178" s="109" t="str">
        <f t="shared" si="101"/>
        <v/>
      </c>
      <c r="BJ178" s="109" t="e">
        <f t="shared" si="102"/>
        <v>#N/A</v>
      </c>
      <c r="BK178" s="96"/>
      <c r="BL178" s="96"/>
      <c r="BM178" s="96"/>
      <c r="BN178" s="96"/>
      <c r="BO178" s="96"/>
      <c r="BP178" s="96"/>
      <c r="BQ178" s="96"/>
      <c r="BR178" s="96"/>
    </row>
    <row r="179" spans="2:70" s="132" customFormat="1" ht="13.15" x14ac:dyDescent="0.4">
      <c r="B179" s="88">
        <v>175</v>
      </c>
      <c r="C179" s="116" t="str">
        <f t="shared" si="92"/>
        <v/>
      </c>
      <c r="AD179" s="130">
        <v>175</v>
      </c>
      <c r="AE179" s="106">
        <f t="shared" si="105"/>
        <v>26</v>
      </c>
      <c r="AF179" s="130">
        <f t="shared" si="89"/>
        <v>10.33</v>
      </c>
      <c r="AG179" s="95">
        <f t="shared" si="93"/>
        <v>12</v>
      </c>
      <c r="AH179" s="95">
        <f t="shared" si="94"/>
        <v>10</v>
      </c>
      <c r="AI179" s="131">
        <f t="shared" si="103"/>
        <v>10.378785896192221</v>
      </c>
      <c r="AJ179" s="131">
        <f t="shared" si="103"/>
        <v>10.631214103807773</v>
      </c>
      <c r="AK179" s="131">
        <f t="shared" si="103"/>
        <v>10.252571792384446</v>
      </c>
      <c r="AL179" s="131">
        <f t="shared" si="103"/>
        <v>10.757428207615549</v>
      </c>
      <c r="AM179" s="131">
        <f t="shared" si="103"/>
        <v>10.12635768857667</v>
      </c>
      <c r="AN179" s="131">
        <f t="shared" si="103"/>
        <v>10.883642311423325</v>
      </c>
      <c r="AO179" s="131">
        <f t="shared" si="103"/>
        <v>10.504999999999997</v>
      </c>
      <c r="AP179" s="130"/>
      <c r="AQ179" s="95">
        <f t="shared" si="95"/>
        <v>0</v>
      </c>
      <c r="AR179" s="95">
        <f t="shared" si="96"/>
        <v>0</v>
      </c>
      <c r="BC179" s="94">
        <v>175</v>
      </c>
      <c r="BD179" s="108" t="e">
        <f t="shared" si="97"/>
        <v>#N/A</v>
      </c>
      <c r="BE179" s="94" t="str">
        <f t="shared" si="104"/>
        <v/>
      </c>
      <c r="BF179" s="109" t="str">
        <f t="shared" si="98"/>
        <v/>
      </c>
      <c r="BG179" s="109" t="str">
        <f t="shared" si="99"/>
        <v/>
      </c>
      <c r="BH179" s="109" t="str">
        <f t="shared" si="100"/>
        <v/>
      </c>
      <c r="BI179" s="109" t="str">
        <f t="shared" si="101"/>
        <v/>
      </c>
      <c r="BJ179" s="109" t="e">
        <f t="shared" si="102"/>
        <v>#N/A</v>
      </c>
      <c r="BK179" s="96"/>
      <c r="BL179" s="96"/>
      <c r="BM179" s="96"/>
      <c r="BN179" s="96"/>
      <c r="BO179" s="96"/>
      <c r="BP179" s="96"/>
      <c r="BQ179" s="96"/>
      <c r="BR179" s="96"/>
    </row>
    <row r="180" spans="2:70" s="132" customFormat="1" ht="13.15" x14ac:dyDescent="0.4">
      <c r="B180" s="93">
        <v>176</v>
      </c>
      <c r="C180" s="116" t="str">
        <f t="shared" si="92"/>
        <v/>
      </c>
      <c r="AD180" s="130">
        <v>176</v>
      </c>
      <c r="AE180" s="106">
        <f t="shared" si="105"/>
        <v>26</v>
      </c>
      <c r="AF180" s="130">
        <f t="shared" si="89"/>
        <v>10.33</v>
      </c>
      <c r="AG180" s="95">
        <f t="shared" si="93"/>
        <v>12</v>
      </c>
      <c r="AH180" s="95">
        <f t="shared" si="94"/>
        <v>10</v>
      </c>
      <c r="AI180" s="131">
        <f t="shared" si="103"/>
        <v>10.378785896192221</v>
      </c>
      <c r="AJ180" s="131">
        <f t="shared" si="103"/>
        <v>10.631214103807773</v>
      </c>
      <c r="AK180" s="131">
        <f t="shared" si="103"/>
        <v>10.252571792384446</v>
      </c>
      <c r="AL180" s="131">
        <f t="shared" si="103"/>
        <v>10.757428207615549</v>
      </c>
      <c r="AM180" s="131">
        <f t="shared" si="103"/>
        <v>10.12635768857667</v>
      </c>
      <c r="AN180" s="131">
        <f t="shared" si="103"/>
        <v>10.883642311423325</v>
      </c>
      <c r="AO180" s="131">
        <f t="shared" si="103"/>
        <v>10.504999999999997</v>
      </c>
      <c r="AP180" s="130"/>
      <c r="AQ180" s="95">
        <f t="shared" si="95"/>
        <v>0</v>
      </c>
      <c r="AR180" s="95">
        <f t="shared" si="96"/>
        <v>0</v>
      </c>
      <c r="BC180" s="94">
        <v>176</v>
      </c>
      <c r="BD180" s="108" t="e">
        <f t="shared" si="97"/>
        <v>#N/A</v>
      </c>
      <c r="BE180" s="94" t="str">
        <f t="shared" si="104"/>
        <v/>
      </c>
      <c r="BF180" s="109" t="str">
        <f t="shared" si="98"/>
        <v/>
      </c>
      <c r="BG180" s="109" t="str">
        <f t="shared" si="99"/>
        <v/>
      </c>
      <c r="BH180" s="109" t="str">
        <f t="shared" si="100"/>
        <v/>
      </c>
      <c r="BI180" s="109" t="str">
        <f t="shared" si="101"/>
        <v/>
      </c>
      <c r="BJ180" s="109" t="e">
        <f t="shared" si="102"/>
        <v>#N/A</v>
      </c>
      <c r="BK180" s="96"/>
      <c r="BL180" s="96"/>
      <c r="BM180" s="96"/>
      <c r="BN180" s="96"/>
      <c r="BO180" s="96"/>
      <c r="BP180" s="96"/>
      <c r="BQ180" s="96"/>
      <c r="BR180" s="96"/>
    </row>
    <row r="181" spans="2:70" s="132" customFormat="1" ht="13.15" x14ac:dyDescent="0.4">
      <c r="B181" s="88">
        <v>177</v>
      </c>
      <c r="C181" s="116" t="str">
        <f t="shared" si="92"/>
        <v/>
      </c>
      <c r="AD181" s="130">
        <v>177</v>
      </c>
      <c r="AE181" s="106">
        <f t="shared" si="105"/>
        <v>26</v>
      </c>
      <c r="AF181" s="130">
        <f t="shared" si="89"/>
        <v>10.33</v>
      </c>
      <c r="AG181" s="95">
        <f t="shared" si="93"/>
        <v>12</v>
      </c>
      <c r="AH181" s="95">
        <f t="shared" si="94"/>
        <v>10</v>
      </c>
      <c r="AI181" s="131">
        <f t="shared" si="103"/>
        <v>10.378785896192221</v>
      </c>
      <c r="AJ181" s="131">
        <f t="shared" si="103"/>
        <v>10.631214103807773</v>
      </c>
      <c r="AK181" s="131">
        <f t="shared" si="103"/>
        <v>10.252571792384446</v>
      </c>
      <c r="AL181" s="131">
        <f t="shared" si="103"/>
        <v>10.757428207615549</v>
      </c>
      <c r="AM181" s="131">
        <f t="shared" si="103"/>
        <v>10.12635768857667</v>
      </c>
      <c r="AN181" s="131">
        <f t="shared" si="103"/>
        <v>10.883642311423325</v>
      </c>
      <c r="AO181" s="131">
        <f t="shared" si="103"/>
        <v>10.504999999999997</v>
      </c>
      <c r="AP181" s="130"/>
      <c r="AQ181" s="95">
        <f t="shared" si="95"/>
        <v>0</v>
      </c>
      <c r="AR181" s="95">
        <f t="shared" si="96"/>
        <v>0</v>
      </c>
      <c r="BC181" s="94">
        <v>177</v>
      </c>
      <c r="BD181" s="108" t="e">
        <f t="shared" si="97"/>
        <v>#N/A</v>
      </c>
      <c r="BE181" s="94" t="str">
        <f t="shared" si="104"/>
        <v/>
      </c>
      <c r="BF181" s="109" t="str">
        <f t="shared" si="98"/>
        <v/>
      </c>
      <c r="BG181" s="109" t="str">
        <f t="shared" si="99"/>
        <v/>
      </c>
      <c r="BH181" s="109" t="str">
        <f t="shared" si="100"/>
        <v/>
      </c>
      <c r="BI181" s="109" t="str">
        <f t="shared" si="101"/>
        <v/>
      </c>
      <c r="BJ181" s="109" t="e">
        <f t="shared" si="102"/>
        <v>#N/A</v>
      </c>
      <c r="BK181" s="96"/>
      <c r="BL181" s="96"/>
      <c r="BM181" s="96"/>
      <c r="BN181" s="96"/>
      <c r="BO181" s="96"/>
      <c r="BP181" s="96"/>
      <c r="BQ181" s="96"/>
      <c r="BR181" s="96"/>
    </row>
    <row r="182" spans="2:70" s="132" customFormat="1" ht="13.15" x14ac:dyDescent="0.4">
      <c r="B182" s="93">
        <v>178</v>
      </c>
      <c r="C182" s="116" t="str">
        <f t="shared" si="92"/>
        <v/>
      </c>
      <c r="AD182" s="130">
        <v>178</v>
      </c>
      <c r="AE182" s="106">
        <f t="shared" si="105"/>
        <v>26</v>
      </c>
      <c r="AF182" s="130">
        <f t="shared" si="89"/>
        <v>10.33</v>
      </c>
      <c r="AG182" s="95">
        <f t="shared" si="93"/>
        <v>12</v>
      </c>
      <c r="AH182" s="95">
        <f t="shared" si="94"/>
        <v>10</v>
      </c>
      <c r="AI182" s="131">
        <f t="shared" ref="AI182:AO197" si="106">AI181</f>
        <v>10.378785896192221</v>
      </c>
      <c r="AJ182" s="131">
        <f t="shared" si="106"/>
        <v>10.631214103807773</v>
      </c>
      <c r="AK182" s="131">
        <f t="shared" si="106"/>
        <v>10.252571792384446</v>
      </c>
      <c r="AL182" s="131">
        <f t="shared" si="106"/>
        <v>10.757428207615549</v>
      </c>
      <c r="AM182" s="131">
        <f t="shared" si="106"/>
        <v>10.12635768857667</v>
      </c>
      <c r="AN182" s="131">
        <f t="shared" si="106"/>
        <v>10.883642311423325</v>
      </c>
      <c r="AO182" s="131">
        <f t="shared" si="106"/>
        <v>10.504999999999997</v>
      </c>
      <c r="AP182" s="130"/>
      <c r="AQ182" s="95">
        <f t="shared" si="95"/>
        <v>0</v>
      </c>
      <c r="AR182" s="95">
        <f t="shared" si="96"/>
        <v>0</v>
      </c>
      <c r="BC182" s="94">
        <v>178</v>
      </c>
      <c r="BD182" s="108" t="e">
        <f t="shared" si="97"/>
        <v>#N/A</v>
      </c>
      <c r="BE182" s="94" t="str">
        <f t="shared" si="104"/>
        <v/>
      </c>
      <c r="BF182" s="109" t="str">
        <f t="shared" si="98"/>
        <v/>
      </c>
      <c r="BG182" s="109" t="str">
        <f t="shared" si="99"/>
        <v/>
      </c>
      <c r="BH182" s="109" t="str">
        <f t="shared" si="100"/>
        <v/>
      </c>
      <c r="BI182" s="109" t="str">
        <f t="shared" si="101"/>
        <v/>
      </c>
      <c r="BJ182" s="109" t="e">
        <f t="shared" si="102"/>
        <v>#N/A</v>
      </c>
      <c r="BK182" s="96"/>
      <c r="BL182" s="96"/>
      <c r="BM182" s="96"/>
      <c r="BN182" s="96"/>
      <c r="BO182" s="96"/>
      <c r="BP182" s="96"/>
      <c r="BQ182" s="96"/>
      <c r="BR182" s="96"/>
    </row>
    <row r="183" spans="2:70" s="132" customFormat="1" ht="13.15" x14ac:dyDescent="0.4">
      <c r="B183" s="88">
        <v>179</v>
      </c>
      <c r="C183" s="116" t="str">
        <f t="shared" si="92"/>
        <v/>
      </c>
      <c r="AD183" s="130">
        <v>179</v>
      </c>
      <c r="AE183" s="106">
        <f t="shared" si="105"/>
        <v>26</v>
      </c>
      <c r="AF183" s="130">
        <f t="shared" si="89"/>
        <v>10.33</v>
      </c>
      <c r="AG183" s="95">
        <f t="shared" si="93"/>
        <v>12</v>
      </c>
      <c r="AH183" s="95">
        <f t="shared" si="94"/>
        <v>10</v>
      </c>
      <c r="AI183" s="131">
        <f t="shared" si="106"/>
        <v>10.378785896192221</v>
      </c>
      <c r="AJ183" s="131">
        <f t="shared" si="106"/>
        <v>10.631214103807773</v>
      </c>
      <c r="AK183" s="131">
        <f t="shared" si="106"/>
        <v>10.252571792384446</v>
      </c>
      <c r="AL183" s="131">
        <f t="shared" si="106"/>
        <v>10.757428207615549</v>
      </c>
      <c r="AM183" s="131">
        <f t="shared" si="106"/>
        <v>10.12635768857667</v>
      </c>
      <c r="AN183" s="131">
        <f t="shared" si="106"/>
        <v>10.883642311423325</v>
      </c>
      <c r="AO183" s="131">
        <f t="shared" si="106"/>
        <v>10.504999999999997</v>
      </c>
      <c r="AP183" s="130"/>
      <c r="AQ183" s="95">
        <f t="shared" si="95"/>
        <v>0</v>
      </c>
      <c r="AR183" s="95">
        <f t="shared" si="96"/>
        <v>0</v>
      </c>
      <c r="BC183" s="94">
        <v>179</v>
      </c>
      <c r="BD183" s="108" t="e">
        <f t="shared" si="97"/>
        <v>#N/A</v>
      </c>
      <c r="BE183" s="94" t="str">
        <f t="shared" si="104"/>
        <v/>
      </c>
      <c r="BF183" s="109" t="str">
        <f t="shared" si="98"/>
        <v/>
      </c>
      <c r="BG183" s="109" t="str">
        <f t="shared" si="99"/>
        <v/>
      </c>
      <c r="BH183" s="109" t="str">
        <f t="shared" si="100"/>
        <v/>
      </c>
      <c r="BI183" s="109" t="str">
        <f t="shared" si="101"/>
        <v/>
      </c>
      <c r="BJ183" s="109" t="e">
        <f t="shared" si="102"/>
        <v>#N/A</v>
      </c>
      <c r="BK183" s="96"/>
      <c r="BL183" s="96"/>
      <c r="BM183" s="96"/>
      <c r="BN183" s="96"/>
      <c r="BO183" s="96"/>
      <c r="BP183" s="96"/>
      <c r="BQ183" s="96"/>
      <c r="BR183" s="96"/>
    </row>
    <row r="184" spans="2:70" s="132" customFormat="1" ht="13.15" x14ac:dyDescent="0.4">
      <c r="B184" s="93">
        <v>180</v>
      </c>
      <c r="C184" s="116" t="str">
        <f t="shared" si="92"/>
        <v/>
      </c>
      <c r="AD184" s="130">
        <v>180</v>
      </c>
      <c r="AE184" s="106">
        <f t="shared" si="105"/>
        <v>26</v>
      </c>
      <c r="AF184" s="130">
        <f t="shared" si="89"/>
        <v>10.33</v>
      </c>
      <c r="AG184" s="95">
        <f t="shared" si="93"/>
        <v>12</v>
      </c>
      <c r="AH184" s="95">
        <f t="shared" si="94"/>
        <v>10</v>
      </c>
      <c r="AI184" s="131">
        <f t="shared" si="106"/>
        <v>10.378785896192221</v>
      </c>
      <c r="AJ184" s="131">
        <f t="shared" si="106"/>
        <v>10.631214103807773</v>
      </c>
      <c r="AK184" s="131">
        <f t="shared" si="106"/>
        <v>10.252571792384446</v>
      </c>
      <c r="AL184" s="131">
        <f t="shared" si="106"/>
        <v>10.757428207615549</v>
      </c>
      <c r="AM184" s="131">
        <f t="shared" si="106"/>
        <v>10.12635768857667</v>
      </c>
      <c r="AN184" s="131">
        <f t="shared" si="106"/>
        <v>10.883642311423325</v>
      </c>
      <c r="AO184" s="131">
        <f t="shared" si="106"/>
        <v>10.504999999999997</v>
      </c>
      <c r="AP184" s="130"/>
      <c r="AQ184" s="95">
        <f t="shared" si="95"/>
        <v>0</v>
      </c>
      <c r="AR184" s="95">
        <f t="shared" si="96"/>
        <v>0</v>
      </c>
      <c r="BC184" s="94">
        <v>180</v>
      </c>
      <c r="BD184" s="108" t="e">
        <f t="shared" si="97"/>
        <v>#N/A</v>
      </c>
      <c r="BE184" s="94" t="str">
        <f t="shared" si="104"/>
        <v/>
      </c>
      <c r="BF184" s="109" t="str">
        <f t="shared" si="98"/>
        <v/>
      </c>
      <c r="BG184" s="109" t="str">
        <f t="shared" si="99"/>
        <v/>
      </c>
      <c r="BH184" s="109" t="str">
        <f t="shared" si="100"/>
        <v/>
      </c>
      <c r="BI184" s="109" t="str">
        <f t="shared" si="101"/>
        <v/>
      </c>
      <c r="BJ184" s="109" t="e">
        <f t="shared" si="102"/>
        <v>#N/A</v>
      </c>
      <c r="BK184" s="96"/>
      <c r="BL184" s="96"/>
      <c r="BM184" s="96"/>
      <c r="BN184" s="96"/>
      <c r="BO184" s="96"/>
      <c r="BP184" s="96"/>
      <c r="BQ184" s="96"/>
      <c r="BR184" s="96"/>
    </row>
    <row r="185" spans="2:70" s="132" customFormat="1" ht="13.15" x14ac:dyDescent="0.4">
      <c r="B185" s="88">
        <v>181</v>
      </c>
      <c r="C185" s="116" t="str">
        <f t="shared" si="92"/>
        <v/>
      </c>
      <c r="AD185" s="130">
        <v>181</v>
      </c>
      <c r="AE185" s="106">
        <f t="shared" si="105"/>
        <v>26</v>
      </c>
      <c r="AF185" s="130">
        <f t="shared" si="89"/>
        <v>10.33</v>
      </c>
      <c r="AG185" s="95">
        <f t="shared" si="93"/>
        <v>12</v>
      </c>
      <c r="AH185" s="95">
        <f t="shared" si="94"/>
        <v>10</v>
      </c>
      <c r="AI185" s="131">
        <f t="shared" si="106"/>
        <v>10.378785896192221</v>
      </c>
      <c r="AJ185" s="131">
        <f t="shared" si="106"/>
        <v>10.631214103807773</v>
      </c>
      <c r="AK185" s="131">
        <f t="shared" si="106"/>
        <v>10.252571792384446</v>
      </c>
      <c r="AL185" s="131">
        <f t="shared" si="106"/>
        <v>10.757428207615549</v>
      </c>
      <c r="AM185" s="131">
        <f t="shared" si="106"/>
        <v>10.12635768857667</v>
      </c>
      <c r="AN185" s="131">
        <f t="shared" si="106"/>
        <v>10.883642311423325</v>
      </c>
      <c r="AO185" s="131">
        <f t="shared" si="106"/>
        <v>10.504999999999997</v>
      </c>
      <c r="AP185" s="130"/>
      <c r="AQ185" s="95">
        <f t="shared" si="95"/>
        <v>0</v>
      </c>
      <c r="AR185" s="95">
        <f t="shared" si="96"/>
        <v>0</v>
      </c>
      <c r="BC185" s="94">
        <v>181</v>
      </c>
      <c r="BD185" s="108" t="e">
        <f t="shared" si="97"/>
        <v>#N/A</v>
      </c>
      <c r="BE185" s="94" t="str">
        <f t="shared" si="104"/>
        <v/>
      </c>
      <c r="BF185" s="109" t="str">
        <f t="shared" si="98"/>
        <v/>
      </c>
      <c r="BG185" s="109" t="str">
        <f t="shared" si="99"/>
        <v/>
      </c>
      <c r="BH185" s="109" t="str">
        <f t="shared" si="100"/>
        <v/>
      </c>
      <c r="BI185" s="109" t="str">
        <f t="shared" si="101"/>
        <v/>
      </c>
      <c r="BJ185" s="109" t="e">
        <f t="shared" si="102"/>
        <v>#N/A</v>
      </c>
      <c r="BK185" s="96"/>
      <c r="BL185" s="96"/>
      <c r="BM185" s="96"/>
      <c r="BN185" s="96"/>
      <c r="BO185" s="96"/>
      <c r="BP185" s="96"/>
      <c r="BQ185" s="96"/>
      <c r="BR185" s="96"/>
    </row>
    <row r="186" spans="2:70" s="132" customFormat="1" ht="13.15" x14ac:dyDescent="0.4">
      <c r="B186" s="93">
        <v>182</v>
      </c>
      <c r="C186" s="116" t="str">
        <f t="shared" si="92"/>
        <v/>
      </c>
      <c r="AD186" s="130">
        <v>182</v>
      </c>
      <c r="AE186" s="106">
        <f t="shared" si="105"/>
        <v>26</v>
      </c>
      <c r="AF186" s="130">
        <f t="shared" si="89"/>
        <v>10.33</v>
      </c>
      <c r="AG186" s="95">
        <f t="shared" si="93"/>
        <v>12</v>
      </c>
      <c r="AH186" s="95">
        <f t="shared" si="94"/>
        <v>10</v>
      </c>
      <c r="AI186" s="131">
        <f t="shared" si="106"/>
        <v>10.378785896192221</v>
      </c>
      <c r="AJ186" s="131">
        <f t="shared" si="106"/>
        <v>10.631214103807773</v>
      </c>
      <c r="AK186" s="131">
        <f t="shared" si="106"/>
        <v>10.252571792384446</v>
      </c>
      <c r="AL186" s="131">
        <f t="shared" si="106"/>
        <v>10.757428207615549</v>
      </c>
      <c r="AM186" s="131">
        <f t="shared" si="106"/>
        <v>10.12635768857667</v>
      </c>
      <c r="AN186" s="131">
        <f t="shared" si="106"/>
        <v>10.883642311423325</v>
      </c>
      <c r="AO186" s="131">
        <f t="shared" si="106"/>
        <v>10.504999999999997</v>
      </c>
      <c r="AP186" s="130"/>
      <c r="AQ186" s="95">
        <f t="shared" si="95"/>
        <v>0</v>
      </c>
      <c r="AR186" s="95">
        <f t="shared" si="96"/>
        <v>0</v>
      </c>
      <c r="BC186" s="94">
        <v>182</v>
      </c>
      <c r="BD186" s="108" t="e">
        <f t="shared" si="97"/>
        <v>#N/A</v>
      </c>
      <c r="BE186" s="94" t="str">
        <f t="shared" si="104"/>
        <v/>
      </c>
      <c r="BF186" s="109" t="str">
        <f t="shared" si="98"/>
        <v/>
      </c>
      <c r="BG186" s="109" t="str">
        <f t="shared" si="99"/>
        <v/>
      </c>
      <c r="BH186" s="109" t="str">
        <f t="shared" si="100"/>
        <v/>
      </c>
      <c r="BI186" s="109" t="str">
        <f t="shared" si="101"/>
        <v/>
      </c>
      <c r="BJ186" s="109" t="e">
        <f t="shared" si="102"/>
        <v>#N/A</v>
      </c>
      <c r="BK186" s="96"/>
      <c r="BL186" s="96"/>
      <c r="BM186" s="96"/>
      <c r="BN186" s="96"/>
      <c r="BO186" s="96"/>
      <c r="BP186" s="96"/>
      <c r="BQ186" s="96"/>
      <c r="BR186" s="96"/>
    </row>
    <row r="187" spans="2:70" s="132" customFormat="1" ht="13.15" x14ac:dyDescent="0.4">
      <c r="B187" s="88">
        <v>183</v>
      </c>
      <c r="C187" s="116" t="str">
        <f t="shared" si="92"/>
        <v/>
      </c>
      <c r="AD187" s="130">
        <v>183</v>
      </c>
      <c r="AE187" s="106">
        <f t="shared" si="105"/>
        <v>26</v>
      </c>
      <c r="AF187" s="130">
        <f t="shared" si="89"/>
        <v>10.33</v>
      </c>
      <c r="AG187" s="95">
        <f t="shared" si="93"/>
        <v>12</v>
      </c>
      <c r="AH187" s="95">
        <f t="shared" si="94"/>
        <v>10</v>
      </c>
      <c r="AI187" s="131">
        <f t="shared" si="106"/>
        <v>10.378785896192221</v>
      </c>
      <c r="AJ187" s="131">
        <f t="shared" si="106"/>
        <v>10.631214103807773</v>
      </c>
      <c r="AK187" s="131">
        <f t="shared" si="106"/>
        <v>10.252571792384446</v>
      </c>
      <c r="AL187" s="131">
        <f t="shared" si="106"/>
        <v>10.757428207615549</v>
      </c>
      <c r="AM187" s="131">
        <f t="shared" si="106"/>
        <v>10.12635768857667</v>
      </c>
      <c r="AN187" s="131">
        <f t="shared" si="106"/>
        <v>10.883642311423325</v>
      </c>
      <c r="AO187" s="131">
        <f t="shared" si="106"/>
        <v>10.504999999999997</v>
      </c>
      <c r="AP187" s="130"/>
      <c r="AQ187" s="95">
        <f t="shared" si="95"/>
        <v>0</v>
      </c>
      <c r="AR187" s="95">
        <f t="shared" si="96"/>
        <v>0</v>
      </c>
      <c r="BC187" s="94">
        <v>183</v>
      </c>
      <c r="BD187" s="108" t="e">
        <f t="shared" si="97"/>
        <v>#N/A</v>
      </c>
      <c r="BE187" s="94" t="str">
        <f t="shared" si="104"/>
        <v/>
      </c>
      <c r="BF187" s="109" t="str">
        <f t="shared" si="98"/>
        <v/>
      </c>
      <c r="BG187" s="109" t="str">
        <f t="shared" si="99"/>
        <v/>
      </c>
      <c r="BH187" s="109" t="str">
        <f t="shared" si="100"/>
        <v/>
      </c>
      <c r="BI187" s="109" t="str">
        <f t="shared" si="101"/>
        <v/>
      </c>
      <c r="BJ187" s="109" t="e">
        <f t="shared" si="102"/>
        <v>#N/A</v>
      </c>
      <c r="BK187" s="96"/>
      <c r="BL187" s="96"/>
      <c r="BM187" s="96"/>
      <c r="BN187" s="96"/>
      <c r="BO187" s="96"/>
      <c r="BP187" s="96"/>
      <c r="BQ187" s="96"/>
      <c r="BR187" s="96"/>
    </row>
    <row r="188" spans="2:70" s="132" customFormat="1" ht="13.15" x14ac:dyDescent="0.4">
      <c r="B188" s="93">
        <v>184</v>
      </c>
      <c r="C188" s="116" t="str">
        <f t="shared" si="92"/>
        <v/>
      </c>
      <c r="AD188" s="130">
        <v>184</v>
      </c>
      <c r="AE188" s="106">
        <f t="shared" si="105"/>
        <v>26</v>
      </c>
      <c r="AF188" s="130">
        <f t="shared" si="89"/>
        <v>10.33</v>
      </c>
      <c r="AG188" s="95">
        <f t="shared" si="93"/>
        <v>12</v>
      </c>
      <c r="AH188" s="95">
        <f t="shared" si="94"/>
        <v>10</v>
      </c>
      <c r="AI188" s="131">
        <f t="shared" si="106"/>
        <v>10.378785896192221</v>
      </c>
      <c r="AJ188" s="131">
        <f t="shared" si="106"/>
        <v>10.631214103807773</v>
      </c>
      <c r="AK188" s="131">
        <f t="shared" si="106"/>
        <v>10.252571792384446</v>
      </c>
      <c r="AL188" s="131">
        <f t="shared" si="106"/>
        <v>10.757428207615549</v>
      </c>
      <c r="AM188" s="131">
        <f t="shared" si="106"/>
        <v>10.12635768857667</v>
      </c>
      <c r="AN188" s="131">
        <f t="shared" si="106"/>
        <v>10.883642311423325</v>
      </c>
      <c r="AO188" s="131">
        <f t="shared" si="106"/>
        <v>10.504999999999997</v>
      </c>
      <c r="AP188" s="130"/>
      <c r="AQ188" s="95">
        <f t="shared" si="95"/>
        <v>0</v>
      </c>
      <c r="AR188" s="95">
        <f t="shared" si="96"/>
        <v>0</v>
      </c>
      <c r="BC188" s="94">
        <v>184</v>
      </c>
      <c r="BD188" s="108" t="e">
        <f t="shared" si="97"/>
        <v>#N/A</v>
      </c>
      <c r="BE188" s="94" t="str">
        <f t="shared" si="104"/>
        <v/>
      </c>
      <c r="BF188" s="109" t="str">
        <f t="shared" si="98"/>
        <v/>
      </c>
      <c r="BG188" s="109" t="str">
        <f t="shared" si="99"/>
        <v/>
      </c>
      <c r="BH188" s="109" t="str">
        <f t="shared" si="100"/>
        <v/>
      </c>
      <c r="BI188" s="109" t="str">
        <f t="shared" si="101"/>
        <v/>
      </c>
      <c r="BJ188" s="109" t="e">
        <f t="shared" si="102"/>
        <v>#N/A</v>
      </c>
      <c r="BK188" s="96"/>
      <c r="BL188" s="96"/>
      <c r="BM188" s="96"/>
      <c r="BN188" s="96"/>
      <c r="BO188" s="96"/>
      <c r="BP188" s="96"/>
      <c r="BQ188" s="96"/>
      <c r="BR188" s="96"/>
    </row>
    <row r="189" spans="2:70" s="132" customFormat="1" ht="13.15" x14ac:dyDescent="0.4">
      <c r="B189" s="88">
        <v>185</v>
      </c>
      <c r="C189" s="116" t="str">
        <f t="shared" si="92"/>
        <v/>
      </c>
      <c r="AD189" s="130">
        <v>185</v>
      </c>
      <c r="AE189" s="106">
        <f t="shared" si="105"/>
        <v>26</v>
      </c>
      <c r="AF189" s="130">
        <f t="shared" si="89"/>
        <v>10.33</v>
      </c>
      <c r="AG189" s="95">
        <f t="shared" si="93"/>
        <v>12</v>
      </c>
      <c r="AH189" s="95">
        <f t="shared" si="94"/>
        <v>10</v>
      </c>
      <c r="AI189" s="131">
        <f t="shared" si="106"/>
        <v>10.378785896192221</v>
      </c>
      <c r="AJ189" s="131">
        <f t="shared" si="106"/>
        <v>10.631214103807773</v>
      </c>
      <c r="AK189" s="131">
        <f t="shared" si="106"/>
        <v>10.252571792384446</v>
      </c>
      <c r="AL189" s="131">
        <f t="shared" si="106"/>
        <v>10.757428207615549</v>
      </c>
      <c r="AM189" s="131">
        <f t="shared" si="106"/>
        <v>10.12635768857667</v>
      </c>
      <c r="AN189" s="131">
        <f t="shared" si="106"/>
        <v>10.883642311423325</v>
      </c>
      <c r="AO189" s="131">
        <f t="shared" si="106"/>
        <v>10.504999999999997</v>
      </c>
      <c r="AP189" s="130"/>
      <c r="AQ189" s="95">
        <f t="shared" si="95"/>
        <v>0</v>
      </c>
      <c r="AR189" s="95">
        <f t="shared" si="96"/>
        <v>0</v>
      </c>
      <c r="BC189" s="94">
        <v>185</v>
      </c>
      <c r="BD189" s="108" t="e">
        <f t="shared" si="97"/>
        <v>#N/A</v>
      </c>
      <c r="BE189" s="94" t="str">
        <f t="shared" si="104"/>
        <v/>
      </c>
      <c r="BF189" s="109" t="str">
        <f t="shared" si="98"/>
        <v/>
      </c>
      <c r="BG189" s="109" t="str">
        <f t="shared" si="99"/>
        <v/>
      </c>
      <c r="BH189" s="109" t="str">
        <f t="shared" si="100"/>
        <v/>
      </c>
      <c r="BI189" s="109" t="str">
        <f t="shared" si="101"/>
        <v/>
      </c>
      <c r="BJ189" s="109" t="e">
        <f t="shared" si="102"/>
        <v>#N/A</v>
      </c>
      <c r="BK189" s="96"/>
      <c r="BL189" s="96"/>
      <c r="BM189" s="96"/>
      <c r="BN189" s="96"/>
      <c r="BO189" s="96"/>
      <c r="BP189" s="96"/>
      <c r="BQ189" s="96"/>
      <c r="BR189" s="96"/>
    </row>
    <row r="190" spans="2:70" s="132" customFormat="1" ht="13.15" x14ac:dyDescent="0.4">
      <c r="B190" s="93">
        <v>186</v>
      </c>
      <c r="C190" s="116" t="str">
        <f t="shared" si="92"/>
        <v/>
      </c>
      <c r="AD190" s="130">
        <v>186</v>
      </c>
      <c r="AE190" s="106">
        <f t="shared" si="105"/>
        <v>26</v>
      </c>
      <c r="AF190" s="130">
        <f t="shared" si="89"/>
        <v>10.33</v>
      </c>
      <c r="AG190" s="95">
        <f t="shared" si="93"/>
        <v>12</v>
      </c>
      <c r="AH190" s="95">
        <f t="shared" si="94"/>
        <v>10</v>
      </c>
      <c r="AI190" s="131">
        <f t="shared" si="106"/>
        <v>10.378785896192221</v>
      </c>
      <c r="AJ190" s="131">
        <f t="shared" si="106"/>
        <v>10.631214103807773</v>
      </c>
      <c r="AK190" s="131">
        <f t="shared" si="106"/>
        <v>10.252571792384446</v>
      </c>
      <c r="AL190" s="131">
        <f t="shared" si="106"/>
        <v>10.757428207615549</v>
      </c>
      <c r="AM190" s="131">
        <f t="shared" si="106"/>
        <v>10.12635768857667</v>
      </c>
      <c r="AN190" s="131">
        <f t="shared" si="106"/>
        <v>10.883642311423325</v>
      </c>
      <c r="AO190" s="131">
        <f t="shared" si="106"/>
        <v>10.504999999999997</v>
      </c>
      <c r="AP190" s="130"/>
      <c r="AQ190" s="95">
        <f t="shared" si="95"/>
        <v>0</v>
      </c>
      <c r="AR190" s="95">
        <f t="shared" si="96"/>
        <v>0</v>
      </c>
      <c r="BC190" s="94">
        <v>186</v>
      </c>
      <c r="BD190" s="108" t="e">
        <f t="shared" si="97"/>
        <v>#N/A</v>
      </c>
      <c r="BE190" s="94" t="str">
        <f t="shared" si="104"/>
        <v/>
      </c>
      <c r="BF190" s="109" t="str">
        <f t="shared" si="98"/>
        <v/>
      </c>
      <c r="BG190" s="109" t="str">
        <f t="shared" si="99"/>
        <v/>
      </c>
      <c r="BH190" s="109" t="str">
        <f t="shared" si="100"/>
        <v/>
      </c>
      <c r="BI190" s="109" t="str">
        <f t="shared" si="101"/>
        <v/>
      </c>
      <c r="BJ190" s="109" t="e">
        <f t="shared" si="102"/>
        <v>#N/A</v>
      </c>
      <c r="BK190" s="96"/>
      <c r="BL190" s="96"/>
      <c r="BM190" s="96"/>
      <c r="BN190" s="96"/>
      <c r="BO190" s="96"/>
      <c r="BP190" s="96"/>
      <c r="BQ190" s="96"/>
      <c r="BR190" s="96"/>
    </row>
    <row r="191" spans="2:70" s="132" customFormat="1" ht="13.15" x14ac:dyDescent="0.4">
      <c r="B191" s="88">
        <v>187</v>
      </c>
      <c r="C191" s="116" t="str">
        <f t="shared" si="92"/>
        <v/>
      </c>
      <c r="AD191" s="130">
        <v>187</v>
      </c>
      <c r="AE191" s="106">
        <f t="shared" si="105"/>
        <v>26</v>
      </c>
      <c r="AF191" s="130">
        <f t="shared" si="89"/>
        <v>10.33</v>
      </c>
      <c r="AG191" s="95">
        <f t="shared" si="93"/>
        <v>12</v>
      </c>
      <c r="AH191" s="95">
        <f t="shared" si="94"/>
        <v>10</v>
      </c>
      <c r="AI191" s="131">
        <f t="shared" si="106"/>
        <v>10.378785896192221</v>
      </c>
      <c r="AJ191" s="131">
        <f t="shared" si="106"/>
        <v>10.631214103807773</v>
      </c>
      <c r="AK191" s="131">
        <f t="shared" si="106"/>
        <v>10.252571792384446</v>
      </c>
      <c r="AL191" s="131">
        <f t="shared" si="106"/>
        <v>10.757428207615549</v>
      </c>
      <c r="AM191" s="131">
        <f t="shared" si="106"/>
        <v>10.12635768857667</v>
      </c>
      <c r="AN191" s="131">
        <f t="shared" si="106"/>
        <v>10.883642311423325</v>
      </c>
      <c r="AO191" s="131">
        <f t="shared" si="106"/>
        <v>10.504999999999997</v>
      </c>
      <c r="AP191" s="130"/>
      <c r="AQ191" s="95">
        <f t="shared" si="95"/>
        <v>0</v>
      </c>
      <c r="AR191" s="95">
        <f t="shared" si="96"/>
        <v>0</v>
      </c>
      <c r="BC191" s="94">
        <v>187</v>
      </c>
      <c r="BD191" s="108" t="e">
        <f t="shared" si="97"/>
        <v>#N/A</v>
      </c>
      <c r="BE191" s="94" t="str">
        <f t="shared" si="104"/>
        <v/>
      </c>
      <c r="BF191" s="109" t="str">
        <f t="shared" si="98"/>
        <v/>
      </c>
      <c r="BG191" s="109" t="str">
        <f t="shared" si="99"/>
        <v/>
      </c>
      <c r="BH191" s="109" t="str">
        <f t="shared" si="100"/>
        <v/>
      </c>
      <c r="BI191" s="109" t="str">
        <f t="shared" si="101"/>
        <v/>
      </c>
      <c r="BJ191" s="109" t="e">
        <f t="shared" si="102"/>
        <v>#N/A</v>
      </c>
      <c r="BK191" s="96"/>
      <c r="BL191" s="96"/>
      <c r="BM191" s="96"/>
      <c r="BN191" s="96"/>
      <c r="BO191" s="96"/>
      <c r="BP191" s="96"/>
      <c r="BQ191" s="96"/>
      <c r="BR191" s="96"/>
    </row>
    <row r="192" spans="2:70" s="132" customFormat="1" ht="13.15" x14ac:dyDescent="0.4">
      <c r="B192" s="93">
        <v>188</v>
      </c>
      <c r="C192" s="116" t="str">
        <f t="shared" si="92"/>
        <v/>
      </c>
      <c r="AD192" s="130">
        <v>188</v>
      </c>
      <c r="AE192" s="106">
        <f t="shared" si="105"/>
        <v>26</v>
      </c>
      <c r="AF192" s="130">
        <f t="shared" si="89"/>
        <v>10.33</v>
      </c>
      <c r="AG192" s="95">
        <f t="shared" si="93"/>
        <v>12</v>
      </c>
      <c r="AH192" s="95">
        <f t="shared" si="94"/>
        <v>10</v>
      </c>
      <c r="AI192" s="131">
        <f t="shared" si="106"/>
        <v>10.378785896192221</v>
      </c>
      <c r="AJ192" s="131">
        <f t="shared" si="106"/>
        <v>10.631214103807773</v>
      </c>
      <c r="AK192" s="131">
        <f t="shared" si="106"/>
        <v>10.252571792384446</v>
      </c>
      <c r="AL192" s="131">
        <f t="shared" si="106"/>
        <v>10.757428207615549</v>
      </c>
      <c r="AM192" s="131">
        <f t="shared" si="106"/>
        <v>10.12635768857667</v>
      </c>
      <c r="AN192" s="131">
        <f t="shared" si="106"/>
        <v>10.883642311423325</v>
      </c>
      <c r="AO192" s="131">
        <f t="shared" si="106"/>
        <v>10.504999999999997</v>
      </c>
      <c r="AP192" s="130"/>
      <c r="AQ192" s="95">
        <f t="shared" si="95"/>
        <v>0</v>
      </c>
      <c r="AR192" s="95">
        <f t="shared" si="96"/>
        <v>0</v>
      </c>
      <c r="BC192" s="94">
        <v>188</v>
      </c>
      <c r="BD192" s="108" t="e">
        <f t="shared" si="97"/>
        <v>#N/A</v>
      </c>
      <c r="BE192" s="94" t="str">
        <f t="shared" si="104"/>
        <v/>
      </c>
      <c r="BF192" s="109" t="str">
        <f t="shared" si="98"/>
        <v/>
      </c>
      <c r="BG192" s="109" t="str">
        <f t="shared" si="99"/>
        <v/>
      </c>
      <c r="BH192" s="109" t="str">
        <f t="shared" si="100"/>
        <v/>
      </c>
      <c r="BI192" s="109" t="str">
        <f t="shared" si="101"/>
        <v/>
      </c>
      <c r="BJ192" s="109" t="e">
        <f t="shared" si="102"/>
        <v>#N/A</v>
      </c>
      <c r="BK192" s="96"/>
      <c r="BL192" s="96"/>
      <c r="BM192" s="96"/>
      <c r="BN192" s="96"/>
      <c r="BO192" s="96"/>
      <c r="BP192" s="96"/>
      <c r="BQ192" s="96"/>
      <c r="BR192" s="96"/>
    </row>
    <row r="193" spans="2:70" s="132" customFormat="1" ht="13.15" x14ac:dyDescent="0.4">
      <c r="B193" s="88">
        <v>189</v>
      </c>
      <c r="C193" s="116" t="str">
        <f t="shared" si="92"/>
        <v/>
      </c>
      <c r="AD193" s="130">
        <v>189</v>
      </c>
      <c r="AE193" s="106">
        <f t="shared" si="105"/>
        <v>26</v>
      </c>
      <c r="AF193" s="130">
        <f t="shared" si="89"/>
        <v>10.33</v>
      </c>
      <c r="AG193" s="95">
        <f t="shared" si="93"/>
        <v>12</v>
      </c>
      <c r="AH193" s="95">
        <f t="shared" si="94"/>
        <v>10</v>
      </c>
      <c r="AI193" s="131">
        <f t="shared" si="106"/>
        <v>10.378785896192221</v>
      </c>
      <c r="AJ193" s="131">
        <f t="shared" si="106"/>
        <v>10.631214103807773</v>
      </c>
      <c r="AK193" s="131">
        <f t="shared" si="106"/>
        <v>10.252571792384446</v>
      </c>
      <c r="AL193" s="131">
        <f t="shared" si="106"/>
        <v>10.757428207615549</v>
      </c>
      <c r="AM193" s="131">
        <f t="shared" si="106"/>
        <v>10.12635768857667</v>
      </c>
      <c r="AN193" s="131">
        <f t="shared" si="106"/>
        <v>10.883642311423325</v>
      </c>
      <c r="AO193" s="131">
        <f t="shared" si="106"/>
        <v>10.504999999999997</v>
      </c>
      <c r="AP193" s="130"/>
      <c r="AQ193" s="95">
        <f t="shared" si="95"/>
        <v>0</v>
      </c>
      <c r="AR193" s="95">
        <f t="shared" si="96"/>
        <v>0</v>
      </c>
      <c r="BC193" s="94">
        <v>189</v>
      </c>
      <c r="BD193" s="108" t="e">
        <f t="shared" si="97"/>
        <v>#N/A</v>
      </c>
      <c r="BE193" s="94" t="str">
        <f t="shared" si="104"/>
        <v/>
      </c>
      <c r="BF193" s="109" t="str">
        <f t="shared" si="98"/>
        <v/>
      </c>
      <c r="BG193" s="109" t="str">
        <f t="shared" si="99"/>
        <v/>
      </c>
      <c r="BH193" s="109" t="str">
        <f t="shared" si="100"/>
        <v/>
      </c>
      <c r="BI193" s="109" t="str">
        <f t="shared" si="101"/>
        <v/>
      </c>
      <c r="BJ193" s="109" t="e">
        <f t="shared" si="102"/>
        <v>#N/A</v>
      </c>
      <c r="BK193" s="96"/>
      <c r="BL193" s="96"/>
      <c r="BM193" s="96"/>
      <c r="BN193" s="96"/>
      <c r="BO193" s="96"/>
      <c r="BP193" s="96"/>
      <c r="BQ193" s="96"/>
      <c r="BR193" s="96"/>
    </row>
    <row r="194" spans="2:70" s="132" customFormat="1" ht="13.15" x14ac:dyDescent="0.4">
      <c r="B194" s="93">
        <v>190</v>
      </c>
      <c r="C194" s="116" t="str">
        <f t="shared" si="92"/>
        <v/>
      </c>
      <c r="AD194" s="130">
        <v>190</v>
      </c>
      <c r="AE194" s="106">
        <f t="shared" si="105"/>
        <v>26</v>
      </c>
      <c r="AF194" s="130">
        <f t="shared" si="89"/>
        <v>10.33</v>
      </c>
      <c r="AG194" s="95">
        <f t="shared" si="93"/>
        <v>12</v>
      </c>
      <c r="AH194" s="95">
        <f t="shared" si="94"/>
        <v>10</v>
      </c>
      <c r="AI194" s="131">
        <f t="shared" si="106"/>
        <v>10.378785896192221</v>
      </c>
      <c r="AJ194" s="131">
        <f t="shared" si="106"/>
        <v>10.631214103807773</v>
      </c>
      <c r="AK194" s="131">
        <f t="shared" si="106"/>
        <v>10.252571792384446</v>
      </c>
      <c r="AL194" s="131">
        <f t="shared" si="106"/>
        <v>10.757428207615549</v>
      </c>
      <c r="AM194" s="131">
        <f t="shared" si="106"/>
        <v>10.12635768857667</v>
      </c>
      <c r="AN194" s="131">
        <f t="shared" si="106"/>
        <v>10.883642311423325</v>
      </c>
      <c r="AO194" s="131">
        <f t="shared" si="106"/>
        <v>10.504999999999997</v>
      </c>
      <c r="AP194" s="130"/>
      <c r="AQ194" s="95">
        <f t="shared" si="95"/>
        <v>0</v>
      </c>
      <c r="AR194" s="95">
        <f t="shared" si="96"/>
        <v>0</v>
      </c>
      <c r="BC194" s="94">
        <v>190</v>
      </c>
      <c r="BD194" s="108" t="e">
        <f t="shared" si="97"/>
        <v>#N/A</v>
      </c>
      <c r="BE194" s="94" t="str">
        <f t="shared" si="104"/>
        <v/>
      </c>
      <c r="BF194" s="109" t="str">
        <f t="shared" si="98"/>
        <v/>
      </c>
      <c r="BG194" s="109" t="str">
        <f t="shared" si="99"/>
        <v/>
      </c>
      <c r="BH194" s="109" t="str">
        <f t="shared" si="100"/>
        <v/>
      </c>
      <c r="BI194" s="109" t="str">
        <f t="shared" si="101"/>
        <v/>
      </c>
      <c r="BJ194" s="109" t="e">
        <f t="shared" si="102"/>
        <v>#N/A</v>
      </c>
      <c r="BK194" s="96"/>
      <c r="BL194" s="96"/>
      <c r="BM194" s="96"/>
      <c r="BN194" s="96"/>
      <c r="BO194" s="96"/>
      <c r="BP194" s="96"/>
      <c r="BQ194" s="96"/>
      <c r="BR194" s="96"/>
    </row>
    <row r="195" spans="2:70" s="132" customFormat="1" ht="13.15" x14ac:dyDescent="0.4">
      <c r="B195" s="88">
        <v>191</v>
      </c>
      <c r="C195" s="116" t="str">
        <f t="shared" si="92"/>
        <v/>
      </c>
      <c r="AD195" s="130">
        <v>191</v>
      </c>
      <c r="AE195" s="106">
        <f t="shared" si="105"/>
        <v>26</v>
      </c>
      <c r="AF195" s="130">
        <f t="shared" si="89"/>
        <v>10.33</v>
      </c>
      <c r="AG195" s="95">
        <f t="shared" si="93"/>
        <v>12</v>
      </c>
      <c r="AH195" s="95">
        <f t="shared" si="94"/>
        <v>10</v>
      </c>
      <c r="AI195" s="131">
        <f t="shared" si="106"/>
        <v>10.378785896192221</v>
      </c>
      <c r="AJ195" s="131">
        <f t="shared" si="106"/>
        <v>10.631214103807773</v>
      </c>
      <c r="AK195" s="131">
        <f t="shared" si="106"/>
        <v>10.252571792384446</v>
      </c>
      <c r="AL195" s="131">
        <f t="shared" si="106"/>
        <v>10.757428207615549</v>
      </c>
      <c r="AM195" s="131">
        <f t="shared" si="106"/>
        <v>10.12635768857667</v>
      </c>
      <c r="AN195" s="131">
        <f t="shared" si="106"/>
        <v>10.883642311423325</v>
      </c>
      <c r="AO195" s="131">
        <f t="shared" si="106"/>
        <v>10.504999999999997</v>
      </c>
      <c r="AP195" s="130"/>
      <c r="AQ195" s="95">
        <f t="shared" si="95"/>
        <v>0</v>
      </c>
      <c r="AR195" s="95">
        <f t="shared" si="96"/>
        <v>0</v>
      </c>
      <c r="BC195" s="94">
        <v>191</v>
      </c>
      <c r="BD195" s="108" t="e">
        <f t="shared" si="97"/>
        <v>#N/A</v>
      </c>
      <c r="BE195" s="94" t="str">
        <f t="shared" si="104"/>
        <v/>
      </c>
      <c r="BF195" s="109" t="str">
        <f t="shared" si="98"/>
        <v/>
      </c>
      <c r="BG195" s="109" t="str">
        <f t="shared" si="99"/>
        <v/>
      </c>
      <c r="BH195" s="109" t="str">
        <f t="shared" si="100"/>
        <v/>
      </c>
      <c r="BI195" s="109" t="str">
        <f t="shared" si="101"/>
        <v/>
      </c>
      <c r="BJ195" s="109" t="e">
        <f t="shared" si="102"/>
        <v>#N/A</v>
      </c>
      <c r="BK195" s="96"/>
      <c r="BL195" s="96"/>
      <c r="BM195" s="96"/>
      <c r="BN195" s="96"/>
      <c r="BO195" s="96"/>
      <c r="BP195" s="96"/>
      <c r="BQ195" s="96"/>
      <c r="BR195" s="96"/>
    </row>
    <row r="196" spans="2:70" s="132" customFormat="1" ht="13.15" x14ac:dyDescent="0.4">
      <c r="B196" s="93">
        <v>192</v>
      </c>
      <c r="C196" s="116" t="str">
        <f t="shared" si="92"/>
        <v/>
      </c>
      <c r="AD196" s="130">
        <v>192</v>
      </c>
      <c r="AE196" s="106">
        <f t="shared" si="105"/>
        <v>26</v>
      </c>
      <c r="AF196" s="130">
        <f t="shared" si="89"/>
        <v>10.33</v>
      </c>
      <c r="AG196" s="95">
        <f t="shared" si="93"/>
        <v>12</v>
      </c>
      <c r="AH196" s="95">
        <f t="shared" si="94"/>
        <v>10</v>
      </c>
      <c r="AI196" s="131">
        <f t="shared" si="106"/>
        <v>10.378785896192221</v>
      </c>
      <c r="AJ196" s="131">
        <f t="shared" si="106"/>
        <v>10.631214103807773</v>
      </c>
      <c r="AK196" s="131">
        <f t="shared" si="106"/>
        <v>10.252571792384446</v>
      </c>
      <c r="AL196" s="131">
        <f t="shared" si="106"/>
        <v>10.757428207615549</v>
      </c>
      <c r="AM196" s="131">
        <f t="shared" si="106"/>
        <v>10.12635768857667</v>
      </c>
      <c r="AN196" s="131">
        <f t="shared" si="106"/>
        <v>10.883642311423325</v>
      </c>
      <c r="AO196" s="131">
        <f t="shared" si="106"/>
        <v>10.504999999999997</v>
      </c>
      <c r="AP196" s="130"/>
      <c r="AQ196" s="95">
        <f t="shared" si="95"/>
        <v>0</v>
      </c>
      <c r="AR196" s="95">
        <f t="shared" si="96"/>
        <v>0</v>
      </c>
      <c r="BC196" s="94">
        <v>192</v>
      </c>
      <c r="BD196" s="108" t="e">
        <f t="shared" si="97"/>
        <v>#N/A</v>
      </c>
      <c r="BE196" s="94" t="str">
        <f t="shared" si="104"/>
        <v/>
      </c>
      <c r="BF196" s="109" t="str">
        <f t="shared" si="98"/>
        <v/>
      </c>
      <c r="BG196" s="109" t="str">
        <f t="shared" si="99"/>
        <v/>
      </c>
      <c r="BH196" s="109" t="str">
        <f t="shared" si="100"/>
        <v/>
      </c>
      <c r="BI196" s="109" t="str">
        <f t="shared" si="101"/>
        <v/>
      </c>
      <c r="BJ196" s="109" t="e">
        <f t="shared" si="102"/>
        <v>#N/A</v>
      </c>
      <c r="BK196" s="96"/>
      <c r="BL196" s="96"/>
      <c r="BM196" s="96"/>
      <c r="BN196" s="96"/>
      <c r="BO196" s="96"/>
      <c r="BP196" s="96"/>
      <c r="BQ196" s="96"/>
      <c r="BR196" s="96"/>
    </row>
    <row r="197" spans="2:70" s="132" customFormat="1" ht="13.15" x14ac:dyDescent="0.4">
      <c r="B197" s="88">
        <v>193</v>
      </c>
      <c r="C197" s="116" t="str">
        <f t="shared" si="92"/>
        <v/>
      </c>
      <c r="AD197" s="130">
        <v>193</v>
      </c>
      <c r="AE197" s="106">
        <f t="shared" si="105"/>
        <v>26</v>
      </c>
      <c r="AF197" s="130">
        <f t="shared" si="89"/>
        <v>10.33</v>
      </c>
      <c r="AG197" s="95">
        <f t="shared" ref="AG197:AG204" si="107">IF(C197&lt;&gt;"",OGW,AG196)</f>
        <v>12</v>
      </c>
      <c r="AH197" s="95">
        <f t="shared" ref="AH197:AH204" si="108">IF(C197&lt;&gt;"",UGW,AH196)</f>
        <v>10</v>
      </c>
      <c r="AI197" s="131">
        <f t="shared" si="106"/>
        <v>10.378785896192221</v>
      </c>
      <c r="AJ197" s="131">
        <f t="shared" si="106"/>
        <v>10.631214103807773</v>
      </c>
      <c r="AK197" s="131">
        <f t="shared" si="106"/>
        <v>10.252571792384446</v>
      </c>
      <c r="AL197" s="131">
        <f t="shared" si="106"/>
        <v>10.757428207615549</v>
      </c>
      <c r="AM197" s="131">
        <f t="shared" si="106"/>
        <v>10.12635768857667</v>
      </c>
      <c r="AN197" s="131">
        <f t="shared" si="106"/>
        <v>10.883642311423325</v>
      </c>
      <c r="AO197" s="131">
        <f t="shared" si="106"/>
        <v>10.504999999999997</v>
      </c>
      <c r="AP197" s="130"/>
      <c r="AQ197" s="95">
        <f t="shared" ref="AQ197:AQ204" si="109">IF(AND(C197&lt;&gt;"",C197&lt;UGW),1,0)</f>
        <v>0</v>
      </c>
      <c r="AR197" s="95">
        <f t="shared" ref="AR197:AR204" si="110">IF(AND(C197&lt;&gt;"",C197&gt;OGW),1,0)</f>
        <v>0</v>
      </c>
      <c r="BC197" s="94">
        <v>193</v>
      </c>
      <c r="BD197" s="108" t="e">
        <f t="shared" ref="BD197:BD204" si="111">IF(C197="",NA(),SMALL(xi,BE197))</f>
        <v>#N/A</v>
      </c>
      <c r="BE197" s="94" t="str">
        <f t="shared" si="104"/>
        <v/>
      </c>
      <c r="BF197" s="109" t="str">
        <f t="shared" ref="BF197:BF204" si="112">IF(C197="","",NORMSDIST((BD197-Mittelwert)/Standardabweichung))</f>
        <v/>
      </c>
      <c r="BG197" s="109" t="str">
        <f t="shared" ref="BG197:BG204" si="113">IF(C197="","",1-BF197)</f>
        <v/>
      </c>
      <c r="BH197" s="109" t="str">
        <f t="shared" ref="BH197:BH204" si="114">IF(C197="","",SMALL(BG,BE197))</f>
        <v/>
      </c>
      <c r="BI197" s="109" t="str">
        <f t="shared" ref="BI197:BI204" si="115">IF(C197="","",(2*BE197-1)*(LN(BH197)+LN(BF197)))</f>
        <v/>
      </c>
      <c r="BJ197" s="109" t="e">
        <f t="shared" ref="BJ197:BJ204" si="116">IF(C197="",NA(),NORMSINV((BE197-0.3)/(Anzahl+0.4)))</f>
        <v>#N/A</v>
      </c>
      <c r="BK197" s="96"/>
      <c r="BL197" s="96"/>
      <c r="BM197" s="96"/>
      <c r="BN197" s="96"/>
      <c r="BO197" s="96"/>
      <c r="BP197" s="96"/>
      <c r="BQ197" s="96"/>
      <c r="BR197" s="96"/>
    </row>
    <row r="198" spans="2:70" s="132" customFormat="1" ht="13.15" x14ac:dyDescent="0.4">
      <c r="B198" s="93">
        <v>194</v>
      </c>
      <c r="C198" s="116" t="str">
        <f t="shared" si="92"/>
        <v/>
      </c>
      <c r="AD198" s="130">
        <v>194</v>
      </c>
      <c r="AE198" s="106">
        <f t="shared" si="105"/>
        <v>26</v>
      </c>
      <c r="AF198" s="130">
        <f t="shared" si="89"/>
        <v>10.33</v>
      </c>
      <c r="AG198" s="95">
        <f t="shared" si="107"/>
        <v>12</v>
      </c>
      <c r="AH198" s="95">
        <f t="shared" si="108"/>
        <v>10</v>
      </c>
      <c r="AI198" s="131">
        <f t="shared" ref="AI198:AO204" si="117">AI197</f>
        <v>10.378785896192221</v>
      </c>
      <c r="AJ198" s="131">
        <f t="shared" si="117"/>
        <v>10.631214103807773</v>
      </c>
      <c r="AK198" s="131">
        <f t="shared" si="117"/>
        <v>10.252571792384446</v>
      </c>
      <c r="AL198" s="131">
        <f t="shared" si="117"/>
        <v>10.757428207615549</v>
      </c>
      <c r="AM198" s="131">
        <f t="shared" si="117"/>
        <v>10.12635768857667</v>
      </c>
      <c r="AN198" s="131">
        <f t="shared" si="117"/>
        <v>10.883642311423325</v>
      </c>
      <c r="AO198" s="131">
        <f t="shared" si="117"/>
        <v>10.504999999999997</v>
      </c>
      <c r="AP198" s="130"/>
      <c r="AQ198" s="95">
        <f t="shared" si="109"/>
        <v>0</v>
      </c>
      <c r="AR198" s="95">
        <f t="shared" si="110"/>
        <v>0</v>
      </c>
      <c r="BC198" s="94">
        <v>194</v>
      </c>
      <c r="BD198" s="108" t="e">
        <f t="shared" si="111"/>
        <v>#N/A</v>
      </c>
      <c r="BE198" s="94" t="str">
        <f t="shared" ref="BE198:BE204" si="118">IF(C198="","",1+BE197)</f>
        <v/>
      </c>
      <c r="BF198" s="109" t="str">
        <f t="shared" si="112"/>
        <v/>
      </c>
      <c r="BG198" s="109" t="str">
        <f t="shared" si="113"/>
        <v/>
      </c>
      <c r="BH198" s="109" t="str">
        <f t="shared" si="114"/>
        <v/>
      </c>
      <c r="BI198" s="109" t="str">
        <f t="shared" si="115"/>
        <v/>
      </c>
      <c r="BJ198" s="109" t="e">
        <f t="shared" si="116"/>
        <v>#N/A</v>
      </c>
      <c r="BK198" s="96"/>
      <c r="BL198" s="96"/>
      <c r="BM198" s="96"/>
      <c r="BN198" s="96"/>
      <c r="BO198" s="96"/>
      <c r="BP198" s="96"/>
      <c r="BQ198" s="96"/>
      <c r="BR198" s="96"/>
    </row>
    <row r="199" spans="2:70" s="132" customFormat="1" ht="13.15" x14ac:dyDescent="0.4">
      <c r="B199" s="88">
        <v>195</v>
      </c>
      <c r="C199" s="116" t="str">
        <f t="shared" si="92"/>
        <v/>
      </c>
      <c r="AD199" s="130">
        <v>195</v>
      </c>
      <c r="AE199" s="106">
        <f t="shared" si="105"/>
        <v>26</v>
      </c>
      <c r="AF199" s="130">
        <f t="shared" si="89"/>
        <v>10.33</v>
      </c>
      <c r="AG199" s="95">
        <f t="shared" si="107"/>
        <v>12</v>
      </c>
      <c r="AH199" s="95">
        <f t="shared" si="108"/>
        <v>10</v>
      </c>
      <c r="AI199" s="131">
        <f t="shared" si="117"/>
        <v>10.378785896192221</v>
      </c>
      <c r="AJ199" s="131">
        <f t="shared" si="117"/>
        <v>10.631214103807773</v>
      </c>
      <c r="AK199" s="131">
        <f t="shared" si="117"/>
        <v>10.252571792384446</v>
      </c>
      <c r="AL199" s="131">
        <f t="shared" si="117"/>
        <v>10.757428207615549</v>
      </c>
      <c r="AM199" s="131">
        <f t="shared" si="117"/>
        <v>10.12635768857667</v>
      </c>
      <c r="AN199" s="131">
        <f t="shared" si="117"/>
        <v>10.883642311423325</v>
      </c>
      <c r="AO199" s="131">
        <f t="shared" si="117"/>
        <v>10.504999999999997</v>
      </c>
      <c r="AP199" s="130"/>
      <c r="AQ199" s="95">
        <f t="shared" si="109"/>
        <v>0</v>
      </c>
      <c r="AR199" s="95">
        <f t="shared" si="110"/>
        <v>0</v>
      </c>
      <c r="BC199" s="94">
        <v>195</v>
      </c>
      <c r="BD199" s="108" t="e">
        <f t="shared" si="111"/>
        <v>#N/A</v>
      </c>
      <c r="BE199" s="94" t="str">
        <f t="shared" si="118"/>
        <v/>
      </c>
      <c r="BF199" s="109" t="str">
        <f t="shared" si="112"/>
        <v/>
      </c>
      <c r="BG199" s="109" t="str">
        <f t="shared" si="113"/>
        <v/>
      </c>
      <c r="BH199" s="109" t="str">
        <f t="shared" si="114"/>
        <v/>
      </c>
      <c r="BI199" s="109" t="str">
        <f t="shared" si="115"/>
        <v/>
      </c>
      <c r="BJ199" s="109" t="e">
        <f t="shared" si="116"/>
        <v>#N/A</v>
      </c>
      <c r="BK199" s="96"/>
      <c r="BL199" s="96"/>
      <c r="BM199" s="96"/>
      <c r="BN199" s="96"/>
      <c r="BO199" s="96"/>
      <c r="BP199" s="96"/>
      <c r="BQ199" s="96"/>
      <c r="BR199" s="96"/>
    </row>
    <row r="200" spans="2:70" s="132" customFormat="1" ht="13.15" x14ac:dyDescent="0.4">
      <c r="B200" s="93">
        <v>196</v>
      </c>
      <c r="C200" s="116" t="str">
        <f t="shared" si="92"/>
        <v/>
      </c>
      <c r="AD200" s="130">
        <v>196</v>
      </c>
      <c r="AE200" s="106">
        <f t="shared" si="105"/>
        <v>26</v>
      </c>
      <c r="AF200" s="130">
        <f t="shared" ref="AF200:AF204" si="119">IF(C200&lt;&gt;"",C200,AF199)</f>
        <v>10.33</v>
      </c>
      <c r="AG200" s="95">
        <f t="shared" si="107"/>
        <v>12</v>
      </c>
      <c r="AH200" s="95">
        <f t="shared" si="108"/>
        <v>10</v>
      </c>
      <c r="AI200" s="131">
        <f t="shared" si="117"/>
        <v>10.378785896192221</v>
      </c>
      <c r="AJ200" s="131">
        <f t="shared" si="117"/>
        <v>10.631214103807773</v>
      </c>
      <c r="AK200" s="131">
        <f t="shared" si="117"/>
        <v>10.252571792384446</v>
      </c>
      <c r="AL200" s="131">
        <f t="shared" si="117"/>
        <v>10.757428207615549</v>
      </c>
      <c r="AM200" s="131">
        <f t="shared" si="117"/>
        <v>10.12635768857667</v>
      </c>
      <c r="AN200" s="131">
        <f t="shared" si="117"/>
        <v>10.883642311423325</v>
      </c>
      <c r="AO200" s="131">
        <f t="shared" si="117"/>
        <v>10.504999999999997</v>
      </c>
      <c r="AP200" s="130"/>
      <c r="AQ200" s="95">
        <f t="shared" si="109"/>
        <v>0</v>
      </c>
      <c r="AR200" s="95">
        <f t="shared" si="110"/>
        <v>0</v>
      </c>
      <c r="BC200" s="94">
        <v>196</v>
      </c>
      <c r="BD200" s="108" t="e">
        <f t="shared" si="111"/>
        <v>#N/A</v>
      </c>
      <c r="BE200" s="94" t="str">
        <f t="shared" si="118"/>
        <v/>
      </c>
      <c r="BF200" s="109" t="str">
        <f t="shared" si="112"/>
        <v/>
      </c>
      <c r="BG200" s="109" t="str">
        <f t="shared" si="113"/>
        <v/>
      </c>
      <c r="BH200" s="109" t="str">
        <f t="shared" si="114"/>
        <v/>
      </c>
      <c r="BI200" s="109" t="str">
        <f t="shared" si="115"/>
        <v/>
      </c>
      <c r="BJ200" s="109" t="e">
        <f t="shared" si="116"/>
        <v>#N/A</v>
      </c>
      <c r="BK200" s="96"/>
      <c r="BL200" s="96"/>
      <c r="BM200" s="96"/>
      <c r="BN200" s="96"/>
      <c r="BO200" s="96"/>
      <c r="BP200" s="96"/>
      <c r="BQ200" s="96"/>
      <c r="BR200" s="96"/>
    </row>
    <row r="201" spans="2:70" s="132" customFormat="1" ht="13.15" x14ac:dyDescent="0.4">
      <c r="B201" s="88">
        <v>197</v>
      </c>
      <c r="C201" s="116" t="str">
        <f t="shared" si="92"/>
        <v/>
      </c>
      <c r="AD201" s="130">
        <v>197</v>
      </c>
      <c r="AE201" s="106">
        <f t="shared" ref="AE201:AE204" si="120">IF((Anzahl&gt;AD201),AD201,Anzahl)</f>
        <v>26</v>
      </c>
      <c r="AF201" s="130">
        <f t="shared" si="119"/>
        <v>10.33</v>
      </c>
      <c r="AG201" s="95">
        <f t="shared" si="107"/>
        <v>12</v>
      </c>
      <c r="AH201" s="95">
        <f t="shared" si="108"/>
        <v>10</v>
      </c>
      <c r="AI201" s="131">
        <f t="shared" si="117"/>
        <v>10.378785896192221</v>
      </c>
      <c r="AJ201" s="131">
        <f t="shared" si="117"/>
        <v>10.631214103807773</v>
      </c>
      <c r="AK201" s="131">
        <f t="shared" si="117"/>
        <v>10.252571792384446</v>
      </c>
      <c r="AL201" s="131">
        <f t="shared" si="117"/>
        <v>10.757428207615549</v>
      </c>
      <c r="AM201" s="131">
        <f t="shared" si="117"/>
        <v>10.12635768857667</v>
      </c>
      <c r="AN201" s="131">
        <f t="shared" si="117"/>
        <v>10.883642311423325</v>
      </c>
      <c r="AO201" s="131">
        <f t="shared" si="117"/>
        <v>10.504999999999997</v>
      </c>
      <c r="AP201" s="130"/>
      <c r="AQ201" s="95">
        <f t="shared" si="109"/>
        <v>0</v>
      </c>
      <c r="AR201" s="95">
        <f t="shared" si="110"/>
        <v>0</v>
      </c>
      <c r="BC201" s="94">
        <v>197</v>
      </c>
      <c r="BD201" s="108" t="e">
        <f t="shared" si="111"/>
        <v>#N/A</v>
      </c>
      <c r="BE201" s="94" t="str">
        <f t="shared" si="118"/>
        <v/>
      </c>
      <c r="BF201" s="109" t="str">
        <f t="shared" si="112"/>
        <v/>
      </c>
      <c r="BG201" s="109" t="str">
        <f t="shared" si="113"/>
        <v/>
      </c>
      <c r="BH201" s="109" t="str">
        <f t="shared" si="114"/>
        <v/>
      </c>
      <c r="BI201" s="109" t="str">
        <f t="shared" si="115"/>
        <v/>
      </c>
      <c r="BJ201" s="109" t="e">
        <f t="shared" si="116"/>
        <v>#N/A</v>
      </c>
      <c r="BK201" s="96"/>
      <c r="BL201" s="96"/>
      <c r="BM201" s="96"/>
      <c r="BN201" s="96"/>
      <c r="BO201" s="96"/>
      <c r="BP201" s="96"/>
      <c r="BQ201" s="96"/>
      <c r="BR201" s="96"/>
    </row>
    <row r="202" spans="2:70" s="132" customFormat="1" ht="13.15" x14ac:dyDescent="0.4">
      <c r="B202" s="93">
        <v>198</v>
      </c>
      <c r="C202" s="116" t="str">
        <f t="shared" si="92"/>
        <v/>
      </c>
      <c r="AD202" s="130">
        <v>198</v>
      </c>
      <c r="AE202" s="106">
        <f t="shared" si="120"/>
        <v>26</v>
      </c>
      <c r="AF202" s="130">
        <f t="shared" si="119"/>
        <v>10.33</v>
      </c>
      <c r="AG202" s="95">
        <f t="shared" si="107"/>
        <v>12</v>
      </c>
      <c r="AH202" s="95">
        <f t="shared" si="108"/>
        <v>10</v>
      </c>
      <c r="AI202" s="131">
        <f t="shared" si="117"/>
        <v>10.378785896192221</v>
      </c>
      <c r="AJ202" s="131">
        <f t="shared" si="117"/>
        <v>10.631214103807773</v>
      </c>
      <c r="AK202" s="131">
        <f t="shared" si="117"/>
        <v>10.252571792384446</v>
      </c>
      <c r="AL202" s="131">
        <f t="shared" si="117"/>
        <v>10.757428207615549</v>
      </c>
      <c r="AM202" s="131">
        <f t="shared" si="117"/>
        <v>10.12635768857667</v>
      </c>
      <c r="AN202" s="131">
        <f t="shared" si="117"/>
        <v>10.883642311423325</v>
      </c>
      <c r="AO202" s="131">
        <f t="shared" si="117"/>
        <v>10.504999999999997</v>
      </c>
      <c r="AP202" s="130"/>
      <c r="AQ202" s="95">
        <f t="shared" si="109"/>
        <v>0</v>
      </c>
      <c r="AR202" s="95">
        <f t="shared" si="110"/>
        <v>0</v>
      </c>
      <c r="BC202" s="94">
        <v>198</v>
      </c>
      <c r="BD202" s="108" t="e">
        <f t="shared" si="111"/>
        <v>#N/A</v>
      </c>
      <c r="BE202" s="94" t="str">
        <f t="shared" si="118"/>
        <v/>
      </c>
      <c r="BF202" s="109" t="str">
        <f t="shared" si="112"/>
        <v/>
      </c>
      <c r="BG202" s="109" t="str">
        <f t="shared" si="113"/>
        <v/>
      </c>
      <c r="BH202" s="109" t="str">
        <f t="shared" si="114"/>
        <v/>
      </c>
      <c r="BI202" s="109" t="str">
        <f t="shared" si="115"/>
        <v/>
      </c>
      <c r="BJ202" s="109" t="e">
        <f t="shared" si="116"/>
        <v>#N/A</v>
      </c>
      <c r="BK202" s="96"/>
      <c r="BL202" s="96"/>
      <c r="BM202" s="96"/>
      <c r="BN202" s="96"/>
      <c r="BO202" s="96"/>
      <c r="BP202" s="96"/>
      <c r="BQ202" s="96"/>
      <c r="BR202" s="96"/>
    </row>
    <row r="203" spans="2:70" s="132" customFormat="1" ht="13.15" x14ac:dyDescent="0.4">
      <c r="B203" s="88">
        <v>199</v>
      </c>
      <c r="C203" s="116" t="str">
        <f t="shared" si="92"/>
        <v/>
      </c>
      <c r="AD203" s="130">
        <v>199</v>
      </c>
      <c r="AE203" s="106">
        <f t="shared" si="120"/>
        <v>26</v>
      </c>
      <c r="AF203" s="130">
        <f t="shared" si="119"/>
        <v>10.33</v>
      </c>
      <c r="AG203" s="95">
        <f t="shared" si="107"/>
        <v>12</v>
      </c>
      <c r="AH203" s="95">
        <f t="shared" si="108"/>
        <v>10</v>
      </c>
      <c r="AI203" s="131">
        <f t="shared" si="117"/>
        <v>10.378785896192221</v>
      </c>
      <c r="AJ203" s="131">
        <f t="shared" si="117"/>
        <v>10.631214103807773</v>
      </c>
      <c r="AK203" s="131">
        <f t="shared" si="117"/>
        <v>10.252571792384446</v>
      </c>
      <c r="AL203" s="131">
        <f t="shared" si="117"/>
        <v>10.757428207615549</v>
      </c>
      <c r="AM203" s="131">
        <f t="shared" si="117"/>
        <v>10.12635768857667</v>
      </c>
      <c r="AN203" s="131">
        <f t="shared" si="117"/>
        <v>10.883642311423325</v>
      </c>
      <c r="AO203" s="131">
        <f t="shared" si="117"/>
        <v>10.504999999999997</v>
      </c>
      <c r="AP203" s="130"/>
      <c r="AQ203" s="95">
        <f t="shared" si="109"/>
        <v>0</v>
      </c>
      <c r="AR203" s="95">
        <f t="shared" si="110"/>
        <v>0</v>
      </c>
      <c r="BC203" s="94">
        <v>199</v>
      </c>
      <c r="BD203" s="108" t="e">
        <f t="shared" si="111"/>
        <v>#N/A</v>
      </c>
      <c r="BE203" s="94" t="str">
        <f t="shared" si="118"/>
        <v/>
      </c>
      <c r="BF203" s="109" t="str">
        <f t="shared" si="112"/>
        <v/>
      </c>
      <c r="BG203" s="109" t="str">
        <f t="shared" si="113"/>
        <v/>
      </c>
      <c r="BH203" s="109" t="str">
        <f t="shared" si="114"/>
        <v/>
      </c>
      <c r="BI203" s="109" t="str">
        <f t="shared" si="115"/>
        <v/>
      </c>
      <c r="BJ203" s="109" t="e">
        <f t="shared" si="116"/>
        <v>#N/A</v>
      </c>
      <c r="BK203" s="96"/>
      <c r="BL203" s="96"/>
      <c r="BM203" s="96"/>
      <c r="BN203" s="96"/>
      <c r="BO203" s="96"/>
      <c r="BP203" s="96"/>
      <c r="BQ203" s="96"/>
      <c r="BR203" s="96"/>
    </row>
    <row r="204" spans="2:70" s="132" customFormat="1" ht="13.15" x14ac:dyDescent="0.4">
      <c r="B204" s="93">
        <v>200</v>
      </c>
      <c r="C204" s="116" t="str">
        <f t="shared" si="92"/>
        <v/>
      </c>
      <c r="AD204" s="130">
        <v>200</v>
      </c>
      <c r="AE204" s="106">
        <f t="shared" si="120"/>
        <v>26</v>
      </c>
      <c r="AF204" s="130">
        <f t="shared" si="119"/>
        <v>10.33</v>
      </c>
      <c r="AG204" s="95">
        <f t="shared" si="107"/>
        <v>12</v>
      </c>
      <c r="AH204" s="95">
        <f t="shared" si="108"/>
        <v>10</v>
      </c>
      <c r="AI204" s="131">
        <f t="shared" si="117"/>
        <v>10.378785896192221</v>
      </c>
      <c r="AJ204" s="131">
        <f t="shared" si="117"/>
        <v>10.631214103807773</v>
      </c>
      <c r="AK204" s="131">
        <f t="shared" si="117"/>
        <v>10.252571792384446</v>
      </c>
      <c r="AL204" s="131">
        <f t="shared" si="117"/>
        <v>10.757428207615549</v>
      </c>
      <c r="AM204" s="131">
        <f t="shared" si="117"/>
        <v>10.12635768857667</v>
      </c>
      <c r="AN204" s="131">
        <f t="shared" si="117"/>
        <v>10.883642311423325</v>
      </c>
      <c r="AO204" s="131">
        <f t="shared" si="117"/>
        <v>10.504999999999997</v>
      </c>
      <c r="AP204" s="130"/>
      <c r="AQ204" s="95">
        <f t="shared" si="109"/>
        <v>0</v>
      </c>
      <c r="AR204" s="95">
        <f t="shared" si="110"/>
        <v>0</v>
      </c>
      <c r="BC204" s="94">
        <v>200</v>
      </c>
      <c r="BD204" s="108" t="e">
        <f t="shared" si="111"/>
        <v>#N/A</v>
      </c>
      <c r="BE204" s="94" t="str">
        <f t="shared" si="118"/>
        <v/>
      </c>
      <c r="BF204" s="109" t="str">
        <f t="shared" si="112"/>
        <v/>
      </c>
      <c r="BG204" s="109" t="str">
        <f t="shared" si="113"/>
        <v/>
      </c>
      <c r="BH204" s="109" t="str">
        <f t="shared" si="114"/>
        <v/>
      </c>
      <c r="BI204" s="109" t="str">
        <f t="shared" si="115"/>
        <v/>
      </c>
      <c r="BJ204" s="109" t="e">
        <f t="shared" si="116"/>
        <v>#N/A</v>
      </c>
      <c r="BK204" s="96"/>
      <c r="BL204" s="96"/>
      <c r="BM204" s="96"/>
      <c r="BN204" s="96"/>
      <c r="BO204" s="96"/>
      <c r="BP204" s="96"/>
      <c r="BQ204" s="96"/>
      <c r="BR204" s="96"/>
    </row>
    <row r="205" spans="2:70" s="132" customFormat="1" ht="13.15" x14ac:dyDescent="0.4">
      <c r="C205" s="136"/>
      <c r="AP205" s="130" t="s">
        <v>41</v>
      </c>
      <c r="AQ205" s="130">
        <f>SUM(AQ5:AQ204)</f>
        <v>0</v>
      </c>
      <c r="AR205" s="130">
        <f>SUM(AR5:AR204)</f>
        <v>0</v>
      </c>
      <c r="BD205" s="96"/>
      <c r="BE205" s="96"/>
      <c r="BF205" s="96"/>
      <c r="BG205" s="96"/>
      <c r="BH205" s="96"/>
      <c r="BI205" s="96"/>
      <c r="BJ205" s="96"/>
      <c r="BK205" s="96"/>
      <c r="BL205" s="96"/>
      <c r="BM205" s="96"/>
      <c r="BN205" s="96"/>
      <c r="BO205" s="96"/>
      <c r="BP205" s="96"/>
      <c r="BQ205" s="96"/>
      <c r="BR205" s="96"/>
    </row>
    <row r="206" spans="2:70" s="132" customFormat="1" ht="13.15" x14ac:dyDescent="0.4">
      <c r="C206" s="138"/>
      <c r="BD206" s="96"/>
      <c r="BE206" s="96"/>
      <c r="BF206" s="96"/>
      <c r="BG206" s="96"/>
      <c r="BH206" s="96"/>
      <c r="BI206" s="96"/>
      <c r="BJ206" s="96"/>
      <c r="BK206" s="96"/>
      <c r="BL206" s="96"/>
      <c r="BM206" s="96"/>
      <c r="BN206" s="96"/>
      <c r="BO206" s="96"/>
      <c r="BP206" s="96"/>
      <c r="BQ206" s="96"/>
      <c r="BR206" s="96"/>
    </row>
    <row r="207" spans="2:70" s="132" customFormat="1" ht="13.15" x14ac:dyDescent="0.4">
      <c r="C207" s="138"/>
      <c r="BD207" s="96"/>
      <c r="BE207" s="96"/>
      <c r="BF207" s="96"/>
      <c r="BG207" s="96"/>
      <c r="BH207" s="96"/>
      <c r="BI207" s="96"/>
      <c r="BJ207" s="96"/>
      <c r="BK207" s="96"/>
      <c r="BL207" s="96"/>
      <c r="BM207" s="96"/>
      <c r="BN207" s="96"/>
      <c r="BO207" s="96"/>
      <c r="BP207" s="96"/>
      <c r="BQ207" s="96"/>
      <c r="BR207" s="96"/>
    </row>
    <row r="208" spans="2:70" s="132" customFormat="1" ht="13.15" x14ac:dyDescent="0.4">
      <c r="C208" s="138"/>
      <c r="BD208" s="96"/>
      <c r="BE208" s="96"/>
      <c r="BF208" s="96"/>
      <c r="BG208" s="96"/>
      <c r="BH208" s="96"/>
      <c r="BI208" s="96"/>
      <c r="BJ208" s="96"/>
      <c r="BK208" s="96"/>
      <c r="BL208" s="96"/>
      <c r="BM208" s="96"/>
      <c r="BN208" s="96"/>
      <c r="BO208" s="96"/>
      <c r="BP208" s="96"/>
      <c r="BQ208" s="96"/>
      <c r="BR208" s="96"/>
    </row>
    <row r="209" spans="3:70" s="132" customFormat="1" ht="13.15" x14ac:dyDescent="0.4">
      <c r="C209" s="138"/>
      <c r="BD209" s="96"/>
      <c r="BE209" s="96"/>
      <c r="BF209" s="96"/>
      <c r="BG209" s="96"/>
      <c r="BH209" s="96"/>
      <c r="BI209" s="96"/>
      <c r="BJ209" s="96"/>
      <c r="BK209" s="96"/>
      <c r="BL209" s="96"/>
      <c r="BM209" s="96"/>
      <c r="BN209" s="96"/>
      <c r="BO209" s="96"/>
      <c r="BP209" s="96"/>
      <c r="BQ209" s="96"/>
      <c r="BR209" s="96"/>
    </row>
    <row r="210" spans="3:70" s="132" customFormat="1" ht="13.15" x14ac:dyDescent="0.4">
      <c r="C210" s="138"/>
      <c r="BD210" s="96"/>
      <c r="BE210" s="96"/>
      <c r="BF210" s="96"/>
      <c r="BG210" s="96"/>
      <c r="BH210" s="96"/>
      <c r="BI210" s="96"/>
      <c r="BJ210" s="96"/>
      <c r="BK210" s="96"/>
      <c r="BL210" s="96"/>
      <c r="BM210" s="96"/>
      <c r="BN210" s="96"/>
      <c r="BO210" s="96"/>
      <c r="BP210" s="96"/>
      <c r="BQ210" s="96"/>
      <c r="BR210" s="96"/>
    </row>
    <row r="211" spans="3:70" s="132" customFormat="1" ht="13.15" x14ac:dyDescent="0.4">
      <c r="C211" s="138"/>
      <c r="BD211" s="96"/>
      <c r="BE211" s="96"/>
      <c r="BF211" s="96"/>
      <c r="BG211" s="96"/>
      <c r="BH211" s="96"/>
      <c r="BI211" s="96"/>
      <c r="BJ211" s="96"/>
      <c r="BK211" s="96"/>
      <c r="BL211" s="96"/>
      <c r="BM211" s="96"/>
      <c r="BN211" s="96"/>
      <c r="BO211" s="96"/>
      <c r="BP211" s="96"/>
      <c r="BQ211" s="96"/>
      <c r="BR211" s="96"/>
    </row>
    <row r="212" spans="3:70" s="132" customFormat="1" ht="13.15" x14ac:dyDescent="0.4">
      <c r="C212" s="138"/>
      <c r="BD212" s="96"/>
      <c r="BE212" s="96"/>
      <c r="BF212" s="96"/>
      <c r="BG212" s="96"/>
      <c r="BH212" s="96"/>
      <c r="BI212" s="96"/>
      <c r="BJ212" s="96"/>
      <c r="BK212" s="96"/>
      <c r="BL212" s="96"/>
      <c r="BM212" s="96"/>
      <c r="BN212" s="96"/>
      <c r="BO212" s="96"/>
      <c r="BP212" s="96"/>
      <c r="BQ212" s="96"/>
      <c r="BR212" s="96"/>
    </row>
    <row r="213" spans="3:70" s="132" customFormat="1" ht="13.15" x14ac:dyDescent="0.4">
      <c r="C213" s="138"/>
      <c r="BD213" s="96"/>
      <c r="BE213" s="96"/>
      <c r="BF213" s="96"/>
      <c r="BG213" s="96"/>
      <c r="BH213" s="96"/>
      <c r="BI213" s="96"/>
      <c r="BJ213" s="96"/>
      <c r="BK213" s="96"/>
      <c r="BL213" s="96"/>
      <c r="BM213" s="96"/>
      <c r="BN213" s="96"/>
      <c r="BO213" s="96"/>
      <c r="BP213" s="96"/>
      <c r="BQ213" s="96"/>
      <c r="BR213" s="96"/>
    </row>
    <row r="214" spans="3:70" s="132" customFormat="1" ht="13.15" x14ac:dyDescent="0.4">
      <c r="C214" s="138"/>
      <c r="BD214" s="96"/>
      <c r="BE214" s="96"/>
      <c r="BF214" s="96"/>
      <c r="BG214" s="96"/>
      <c r="BH214" s="96"/>
      <c r="BI214" s="96"/>
      <c r="BJ214" s="96"/>
      <c r="BK214" s="96"/>
      <c r="BL214" s="96"/>
      <c r="BM214" s="96"/>
      <c r="BN214" s="96"/>
      <c r="BO214" s="96"/>
      <c r="BP214" s="96"/>
      <c r="BQ214" s="96"/>
      <c r="BR214" s="96"/>
    </row>
    <row r="215" spans="3:70" s="132" customFormat="1" ht="13.15" x14ac:dyDescent="0.4">
      <c r="C215" s="138"/>
      <c r="BD215" s="96"/>
      <c r="BE215" s="96"/>
      <c r="BF215" s="96"/>
      <c r="BG215" s="96"/>
      <c r="BH215" s="96"/>
      <c r="BI215" s="96"/>
      <c r="BJ215" s="96"/>
      <c r="BK215" s="96"/>
      <c r="BL215" s="96"/>
      <c r="BM215" s="96"/>
      <c r="BN215" s="96"/>
      <c r="BO215" s="96"/>
      <c r="BP215" s="96"/>
      <c r="BQ215" s="96"/>
      <c r="BR215" s="96"/>
    </row>
    <row r="216" spans="3:70" s="132" customFormat="1" ht="13.15" x14ac:dyDescent="0.4">
      <c r="C216" s="138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</row>
    <row r="217" spans="3:70" s="132" customFormat="1" ht="13.15" x14ac:dyDescent="0.4">
      <c r="C217" s="138"/>
      <c r="BD217" s="96"/>
      <c r="BE217" s="96"/>
      <c r="BF217" s="96"/>
      <c r="BG217" s="96"/>
      <c r="BH217" s="96"/>
      <c r="BI217" s="96"/>
      <c r="BJ217" s="96"/>
      <c r="BK217" s="96"/>
      <c r="BL217" s="96"/>
      <c r="BM217" s="96"/>
      <c r="BN217" s="96"/>
      <c r="BO217" s="96"/>
      <c r="BP217" s="96"/>
      <c r="BQ217" s="96"/>
      <c r="BR217" s="96"/>
    </row>
    <row r="218" spans="3:70" s="132" customFormat="1" ht="13.15" x14ac:dyDescent="0.4">
      <c r="C218" s="138"/>
      <c r="BD218" s="96"/>
      <c r="BE218" s="96"/>
      <c r="BF218" s="96"/>
      <c r="BG218" s="96"/>
      <c r="BH218" s="96"/>
      <c r="BI218" s="96"/>
      <c r="BJ218" s="96"/>
      <c r="BK218" s="96"/>
      <c r="BL218" s="96"/>
      <c r="BM218" s="96"/>
      <c r="BN218" s="96"/>
      <c r="BO218" s="96"/>
      <c r="BP218" s="96"/>
      <c r="BQ218" s="96"/>
      <c r="BR218" s="96"/>
    </row>
    <row r="219" spans="3:70" s="132" customFormat="1" ht="13.15" x14ac:dyDescent="0.4">
      <c r="C219" s="138"/>
      <c r="BD219" s="96"/>
      <c r="BE219" s="96"/>
      <c r="BF219" s="96"/>
      <c r="BG219" s="96"/>
      <c r="BH219" s="96"/>
      <c r="BI219" s="96"/>
      <c r="BJ219" s="96"/>
      <c r="BK219" s="96"/>
      <c r="BL219" s="96"/>
      <c r="BM219" s="96"/>
      <c r="BN219" s="96"/>
      <c r="BO219" s="96"/>
      <c r="BP219" s="96"/>
      <c r="BQ219" s="96"/>
      <c r="BR219" s="96"/>
    </row>
    <row r="220" spans="3:70" s="132" customFormat="1" ht="13.15" x14ac:dyDescent="0.4">
      <c r="C220" s="138"/>
      <c r="BD220" s="96"/>
      <c r="BE220" s="96"/>
      <c r="BF220" s="96"/>
      <c r="BG220" s="96"/>
      <c r="BH220" s="96"/>
      <c r="BI220" s="96"/>
      <c r="BJ220" s="96"/>
      <c r="BK220" s="96"/>
      <c r="BL220" s="96"/>
      <c r="BM220" s="96"/>
      <c r="BN220" s="96"/>
      <c r="BO220" s="96"/>
      <c r="BP220" s="96"/>
      <c r="BQ220" s="96"/>
      <c r="BR220" s="96"/>
    </row>
    <row r="221" spans="3:70" s="132" customFormat="1" ht="13.15" x14ac:dyDescent="0.4">
      <c r="C221" s="138"/>
      <c r="BD221" s="96"/>
      <c r="BE221" s="96"/>
      <c r="BF221" s="96"/>
      <c r="BG221" s="96"/>
      <c r="BH221" s="96"/>
      <c r="BI221" s="96"/>
      <c r="BJ221" s="96"/>
      <c r="BK221" s="96"/>
      <c r="BL221" s="96"/>
      <c r="BM221" s="96"/>
      <c r="BN221" s="96"/>
      <c r="BO221" s="96"/>
      <c r="BP221" s="96"/>
      <c r="BQ221" s="96"/>
      <c r="BR221" s="96"/>
    </row>
    <row r="222" spans="3:70" s="132" customFormat="1" ht="13.15" x14ac:dyDescent="0.4">
      <c r="C222" s="138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6"/>
      <c r="BR222" s="96"/>
    </row>
    <row r="223" spans="3:70" s="132" customFormat="1" ht="13.15" x14ac:dyDescent="0.4">
      <c r="C223" s="138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6"/>
      <c r="BR223" s="96"/>
    </row>
    <row r="224" spans="3:70" s="132" customFormat="1" ht="13.15" x14ac:dyDescent="0.4">
      <c r="C224" s="138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6"/>
      <c r="BR224" s="96"/>
    </row>
    <row r="225" spans="3:70" s="132" customFormat="1" ht="13.15" x14ac:dyDescent="0.4">
      <c r="C225" s="138"/>
      <c r="BD225" s="96"/>
      <c r="BE225" s="96"/>
      <c r="BF225" s="96"/>
      <c r="BG225" s="96"/>
      <c r="BH225" s="96"/>
      <c r="BI225" s="96"/>
      <c r="BJ225" s="96"/>
      <c r="BK225" s="96"/>
      <c r="BL225" s="96"/>
      <c r="BM225" s="96"/>
      <c r="BN225" s="96"/>
      <c r="BO225" s="96"/>
      <c r="BP225" s="96"/>
      <c r="BQ225" s="96"/>
      <c r="BR225" s="96"/>
    </row>
    <row r="226" spans="3:70" s="132" customFormat="1" ht="13.15" x14ac:dyDescent="0.4">
      <c r="C226" s="138"/>
      <c r="BD226" s="96"/>
      <c r="BE226" s="96"/>
      <c r="BF226" s="96"/>
      <c r="BG226" s="96"/>
      <c r="BH226" s="96"/>
      <c r="BI226" s="96"/>
      <c r="BJ226" s="96"/>
      <c r="BK226" s="96"/>
      <c r="BL226" s="96"/>
      <c r="BM226" s="96"/>
      <c r="BN226" s="96"/>
      <c r="BO226" s="96"/>
      <c r="BP226" s="96"/>
      <c r="BQ226" s="96"/>
      <c r="BR226" s="96"/>
    </row>
    <row r="227" spans="3:70" s="132" customFormat="1" ht="13.15" x14ac:dyDescent="0.4">
      <c r="C227" s="138"/>
      <c r="BD227" s="96"/>
      <c r="BE227" s="96"/>
      <c r="BF227" s="96"/>
      <c r="BG227" s="96"/>
      <c r="BH227" s="96"/>
      <c r="BI227" s="96"/>
      <c r="BJ227" s="96"/>
      <c r="BK227" s="96"/>
      <c r="BL227" s="96"/>
      <c r="BM227" s="96"/>
      <c r="BN227" s="96"/>
      <c r="BO227" s="96"/>
      <c r="BP227" s="96"/>
      <c r="BQ227" s="96"/>
      <c r="BR227" s="96"/>
    </row>
    <row r="228" spans="3:70" s="132" customFormat="1" ht="13.15" x14ac:dyDescent="0.4">
      <c r="C228" s="138"/>
      <c r="BD228" s="96"/>
      <c r="BE228" s="96"/>
      <c r="BF228" s="96"/>
      <c r="BG228" s="96"/>
      <c r="BH228" s="96"/>
      <c r="BI228" s="96"/>
      <c r="BJ228" s="96"/>
      <c r="BK228" s="96"/>
      <c r="BL228" s="96"/>
      <c r="BM228" s="96"/>
      <c r="BN228" s="96"/>
      <c r="BO228" s="96"/>
      <c r="BP228" s="96"/>
      <c r="BQ228" s="96"/>
      <c r="BR228" s="96"/>
    </row>
    <row r="229" spans="3:70" s="132" customFormat="1" ht="13.15" x14ac:dyDescent="0.4">
      <c r="C229" s="138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6"/>
      <c r="BR229" s="96"/>
    </row>
    <row r="230" spans="3:70" s="132" customFormat="1" ht="13.15" x14ac:dyDescent="0.4">
      <c r="C230" s="138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6"/>
      <c r="BR230" s="96"/>
    </row>
    <row r="231" spans="3:70" s="132" customFormat="1" ht="13.15" x14ac:dyDescent="0.4">
      <c r="C231" s="138"/>
      <c r="BD231" s="96"/>
      <c r="BE231" s="96"/>
      <c r="BF231" s="96"/>
      <c r="BG231" s="96"/>
      <c r="BH231" s="96"/>
      <c r="BI231" s="96"/>
      <c r="BJ231" s="96"/>
      <c r="BK231" s="96"/>
      <c r="BL231" s="96"/>
      <c r="BM231" s="96"/>
      <c r="BN231" s="96"/>
      <c r="BO231" s="96"/>
      <c r="BP231" s="96"/>
      <c r="BQ231" s="96"/>
      <c r="BR231" s="96"/>
    </row>
    <row r="232" spans="3:70" s="132" customFormat="1" ht="13.15" x14ac:dyDescent="0.4">
      <c r="C232" s="138"/>
      <c r="BD232" s="96"/>
      <c r="BE232" s="96"/>
      <c r="BF232" s="96"/>
      <c r="BG232" s="96"/>
      <c r="BH232" s="96"/>
      <c r="BI232" s="96"/>
      <c r="BJ232" s="96"/>
      <c r="BK232" s="96"/>
      <c r="BL232" s="96"/>
      <c r="BM232" s="96"/>
      <c r="BN232" s="96"/>
      <c r="BO232" s="96"/>
      <c r="BP232" s="96"/>
      <c r="BQ232" s="96"/>
      <c r="BR232" s="96"/>
    </row>
    <row r="233" spans="3:70" s="132" customFormat="1" ht="13.15" x14ac:dyDescent="0.4">
      <c r="C233" s="138"/>
      <c r="BD233" s="96"/>
      <c r="BE233" s="96"/>
      <c r="BF233" s="96"/>
      <c r="BG233" s="96"/>
      <c r="BH233" s="96"/>
      <c r="BI233" s="96"/>
      <c r="BJ233" s="96"/>
      <c r="BK233" s="96"/>
      <c r="BL233" s="96"/>
      <c r="BM233" s="96"/>
      <c r="BN233" s="96"/>
      <c r="BO233" s="96"/>
      <c r="BP233" s="96"/>
      <c r="BQ233" s="96"/>
      <c r="BR233" s="96"/>
    </row>
    <row r="234" spans="3:70" s="132" customFormat="1" ht="13.15" x14ac:dyDescent="0.4">
      <c r="C234" s="138"/>
      <c r="BD234" s="96"/>
      <c r="BE234" s="96"/>
      <c r="BF234" s="96"/>
      <c r="BG234" s="96"/>
      <c r="BH234" s="96"/>
      <c r="BI234" s="96"/>
      <c r="BJ234" s="96"/>
      <c r="BK234" s="96"/>
      <c r="BL234" s="96"/>
      <c r="BM234" s="96"/>
      <c r="BN234" s="96"/>
      <c r="BO234" s="96"/>
      <c r="BP234" s="96"/>
      <c r="BQ234" s="96"/>
      <c r="BR234" s="96"/>
    </row>
    <row r="235" spans="3:70" s="132" customFormat="1" ht="13.15" x14ac:dyDescent="0.4">
      <c r="C235" s="138"/>
      <c r="BD235" s="96"/>
      <c r="BE235" s="96"/>
      <c r="BF235" s="96"/>
      <c r="BG235" s="96"/>
      <c r="BH235" s="96"/>
      <c r="BI235" s="96"/>
      <c r="BJ235" s="96"/>
      <c r="BK235" s="96"/>
      <c r="BL235" s="96"/>
      <c r="BM235" s="96"/>
      <c r="BN235" s="96"/>
      <c r="BO235" s="96"/>
      <c r="BP235" s="96"/>
      <c r="BQ235" s="96"/>
      <c r="BR235" s="96"/>
    </row>
    <row r="236" spans="3:70" s="132" customFormat="1" ht="13.15" x14ac:dyDescent="0.4">
      <c r="C236" s="138"/>
      <c r="BD236" s="96"/>
      <c r="BE236" s="96"/>
      <c r="BF236" s="96"/>
      <c r="BG236" s="96"/>
      <c r="BH236" s="96"/>
      <c r="BI236" s="96"/>
      <c r="BJ236" s="96"/>
      <c r="BK236" s="96"/>
      <c r="BL236" s="96"/>
      <c r="BM236" s="96"/>
      <c r="BN236" s="96"/>
      <c r="BO236" s="96"/>
      <c r="BP236" s="96"/>
      <c r="BQ236" s="96"/>
      <c r="BR236" s="96"/>
    </row>
    <row r="237" spans="3:70" s="132" customFormat="1" ht="13.15" x14ac:dyDescent="0.4">
      <c r="C237" s="138"/>
      <c r="BD237" s="96"/>
      <c r="BE237" s="96"/>
      <c r="BF237" s="96"/>
      <c r="BG237" s="96"/>
      <c r="BH237" s="96"/>
      <c r="BI237" s="96"/>
      <c r="BJ237" s="96"/>
      <c r="BK237" s="96"/>
      <c r="BL237" s="96"/>
      <c r="BM237" s="96"/>
      <c r="BN237" s="96"/>
      <c r="BO237" s="96"/>
      <c r="BP237" s="96"/>
      <c r="BQ237" s="96"/>
      <c r="BR237" s="96"/>
    </row>
    <row r="238" spans="3:70" s="132" customFormat="1" ht="13.15" x14ac:dyDescent="0.4">
      <c r="C238" s="138"/>
      <c r="BD238" s="96"/>
      <c r="BE238" s="96"/>
      <c r="BF238" s="96"/>
      <c r="BG238" s="96"/>
      <c r="BH238" s="96"/>
      <c r="BI238" s="96"/>
      <c r="BJ238" s="96"/>
      <c r="BK238" s="96"/>
      <c r="BL238" s="96"/>
      <c r="BM238" s="96"/>
      <c r="BN238" s="96"/>
      <c r="BO238" s="96"/>
      <c r="BP238" s="96"/>
      <c r="BQ238" s="96"/>
      <c r="BR238" s="96"/>
    </row>
    <row r="239" spans="3:70" s="132" customFormat="1" ht="13.15" x14ac:dyDescent="0.4">
      <c r="C239" s="138"/>
      <c r="BD239" s="96"/>
      <c r="BE239" s="96"/>
      <c r="BF239" s="96"/>
      <c r="BG239" s="96"/>
      <c r="BH239" s="96"/>
      <c r="BI239" s="96"/>
      <c r="BJ239" s="96"/>
      <c r="BK239" s="96"/>
      <c r="BL239" s="96"/>
      <c r="BM239" s="96"/>
      <c r="BN239" s="96"/>
      <c r="BO239" s="96"/>
      <c r="BP239" s="96"/>
      <c r="BQ239" s="96"/>
      <c r="BR239" s="96"/>
    </row>
    <row r="240" spans="3:70" s="132" customFormat="1" ht="13.15" x14ac:dyDescent="0.4">
      <c r="C240" s="138"/>
      <c r="BD240" s="96"/>
      <c r="BE240" s="96"/>
      <c r="BF240" s="96"/>
      <c r="BG240" s="96"/>
      <c r="BH240" s="96"/>
      <c r="BI240" s="96"/>
      <c r="BJ240" s="96"/>
      <c r="BK240" s="96"/>
      <c r="BL240" s="96"/>
      <c r="BM240" s="96"/>
      <c r="BN240" s="96"/>
      <c r="BO240" s="96"/>
      <c r="BP240" s="96"/>
      <c r="BQ240" s="96"/>
      <c r="BR240" s="96"/>
    </row>
    <row r="241" spans="3:70" s="132" customFormat="1" ht="13.15" x14ac:dyDescent="0.4">
      <c r="C241" s="138"/>
      <c r="BD241" s="96"/>
      <c r="BE241" s="96"/>
      <c r="BF241" s="96"/>
      <c r="BG241" s="96"/>
      <c r="BH241" s="96"/>
      <c r="BI241" s="96"/>
      <c r="BJ241" s="96"/>
      <c r="BK241" s="96"/>
      <c r="BL241" s="96"/>
      <c r="BM241" s="96"/>
      <c r="BN241" s="96"/>
      <c r="BO241" s="96"/>
      <c r="BP241" s="96"/>
      <c r="BQ241" s="96"/>
      <c r="BR241" s="96"/>
    </row>
    <row r="242" spans="3:70" s="132" customFormat="1" ht="13.15" x14ac:dyDescent="0.4">
      <c r="C242" s="138"/>
      <c r="BD242" s="96"/>
      <c r="BE242" s="96"/>
      <c r="BF242" s="96"/>
      <c r="BG242" s="96"/>
      <c r="BH242" s="96"/>
      <c r="BI242" s="96"/>
      <c r="BJ242" s="96"/>
      <c r="BK242" s="96"/>
      <c r="BL242" s="96"/>
      <c r="BM242" s="96"/>
      <c r="BN242" s="96"/>
      <c r="BO242" s="96"/>
      <c r="BP242" s="96"/>
      <c r="BQ242" s="96"/>
      <c r="BR242" s="96"/>
    </row>
    <row r="243" spans="3:70" s="132" customFormat="1" ht="13.15" x14ac:dyDescent="0.4">
      <c r="C243" s="138"/>
      <c r="BD243" s="96"/>
      <c r="BE243" s="96"/>
      <c r="BF243" s="96"/>
      <c r="BG243" s="96"/>
      <c r="BH243" s="96"/>
      <c r="BI243" s="96"/>
      <c r="BJ243" s="96"/>
      <c r="BK243" s="96"/>
      <c r="BL243" s="96"/>
      <c r="BM243" s="96"/>
      <c r="BN243" s="96"/>
      <c r="BO243" s="96"/>
      <c r="BP243" s="96"/>
      <c r="BQ243" s="96"/>
      <c r="BR243" s="96"/>
    </row>
    <row r="244" spans="3:70" s="132" customFormat="1" ht="13.15" x14ac:dyDescent="0.4">
      <c r="C244" s="138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96"/>
      <c r="BP244" s="96"/>
      <c r="BQ244" s="96"/>
      <c r="BR244" s="96"/>
    </row>
    <row r="245" spans="3:70" s="132" customFormat="1" ht="13.15" x14ac:dyDescent="0.4">
      <c r="C245" s="138"/>
      <c r="BD245" s="96"/>
      <c r="BE245" s="96"/>
      <c r="BF245" s="96"/>
      <c r="BG245" s="96"/>
      <c r="BH245" s="96"/>
      <c r="BI245" s="96"/>
      <c r="BJ245" s="96"/>
      <c r="BK245" s="96"/>
      <c r="BL245" s="96"/>
      <c r="BM245" s="96"/>
      <c r="BN245" s="96"/>
      <c r="BO245" s="96"/>
      <c r="BP245" s="96"/>
      <c r="BQ245" s="96"/>
      <c r="BR245" s="96"/>
    </row>
    <row r="246" spans="3:70" s="132" customFormat="1" ht="13.15" x14ac:dyDescent="0.4">
      <c r="C246" s="138"/>
      <c r="BD246" s="96"/>
      <c r="BE246" s="96"/>
      <c r="BF246" s="96"/>
      <c r="BG246" s="96"/>
      <c r="BH246" s="96"/>
      <c r="BI246" s="96"/>
      <c r="BJ246" s="96"/>
      <c r="BK246" s="96"/>
      <c r="BL246" s="96"/>
      <c r="BM246" s="96"/>
      <c r="BN246" s="96"/>
      <c r="BO246" s="96"/>
      <c r="BP246" s="96"/>
      <c r="BQ246" s="96"/>
      <c r="BR246" s="96"/>
    </row>
    <row r="247" spans="3:70" s="132" customFormat="1" ht="13.15" x14ac:dyDescent="0.4">
      <c r="C247" s="138"/>
      <c r="BD247" s="96"/>
      <c r="BE247" s="96"/>
      <c r="BF247" s="96"/>
      <c r="BG247" s="96"/>
      <c r="BH247" s="96"/>
      <c r="BI247" s="96"/>
      <c r="BJ247" s="96"/>
      <c r="BK247" s="96"/>
      <c r="BL247" s="96"/>
      <c r="BM247" s="96"/>
      <c r="BN247" s="96"/>
      <c r="BO247" s="96"/>
      <c r="BP247" s="96"/>
      <c r="BQ247" s="96"/>
      <c r="BR247" s="96"/>
    </row>
    <row r="248" spans="3:70" s="132" customFormat="1" ht="13.15" x14ac:dyDescent="0.4">
      <c r="C248" s="138"/>
      <c r="BD248" s="96"/>
      <c r="BE248" s="96"/>
      <c r="BF248" s="96"/>
      <c r="BG248" s="96"/>
      <c r="BH248" s="96"/>
      <c r="BI248" s="96"/>
      <c r="BJ248" s="96"/>
      <c r="BK248" s="96"/>
      <c r="BL248" s="96"/>
      <c r="BM248" s="96"/>
      <c r="BN248" s="96"/>
      <c r="BO248" s="96"/>
      <c r="BP248" s="96"/>
      <c r="BQ248" s="96"/>
      <c r="BR248" s="96"/>
    </row>
    <row r="249" spans="3:70" s="132" customFormat="1" ht="13.15" x14ac:dyDescent="0.4">
      <c r="C249" s="138"/>
      <c r="BD249" s="96"/>
      <c r="BE249" s="96"/>
      <c r="BF249" s="96"/>
      <c r="BG249" s="96"/>
      <c r="BH249" s="96"/>
      <c r="BI249" s="96"/>
      <c r="BJ249" s="96"/>
      <c r="BK249" s="96"/>
      <c r="BL249" s="96"/>
      <c r="BM249" s="96"/>
      <c r="BN249" s="96"/>
      <c r="BO249" s="96"/>
      <c r="BP249" s="96"/>
      <c r="BQ249" s="96"/>
      <c r="BR249" s="96"/>
    </row>
    <row r="250" spans="3:70" s="132" customFormat="1" ht="13.15" x14ac:dyDescent="0.4">
      <c r="C250" s="138"/>
      <c r="BD250" s="96"/>
      <c r="BE250" s="96"/>
      <c r="BF250" s="96"/>
      <c r="BG250" s="96"/>
      <c r="BH250" s="96"/>
      <c r="BI250" s="96"/>
      <c r="BJ250" s="96"/>
      <c r="BK250" s="96"/>
      <c r="BL250" s="96"/>
      <c r="BM250" s="96"/>
      <c r="BN250" s="96"/>
      <c r="BO250" s="96"/>
      <c r="BP250" s="96"/>
      <c r="BQ250" s="96"/>
      <c r="BR250" s="96"/>
    </row>
    <row r="251" spans="3:70" s="132" customFormat="1" ht="13.15" x14ac:dyDescent="0.4">
      <c r="C251" s="138"/>
      <c r="BD251" s="96"/>
      <c r="BE251" s="96"/>
      <c r="BF251" s="96"/>
      <c r="BG251" s="96"/>
      <c r="BH251" s="96"/>
      <c r="BI251" s="96"/>
      <c r="BJ251" s="96"/>
      <c r="BK251" s="96"/>
      <c r="BL251" s="96"/>
      <c r="BM251" s="96"/>
      <c r="BN251" s="96"/>
      <c r="BO251" s="96"/>
      <c r="BP251" s="96"/>
      <c r="BQ251" s="96"/>
      <c r="BR251" s="96"/>
    </row>
    <row r="252" spans="3:70" s="132" customFormat="1" ht="13.15" x14ac:dyDescent="0.4">
      <c r="C252" s="138"/>
      <c r="BD252" s="96"/>
      <c r="BE252" s="96"/>
      <c r="BF252" s="96"/>
      <c r="BG252" s="96"/>
      <c r="BH252" s="96"/>
      <c r="BI252" s="96"/>
      <c r="BJ252" s="96"/>
      <c r="BK252" s="96"/>
      <c r="BL252" s="96"/>
      <c r="BM252" s="96"/>
      <c r="BN252" s="96"/>
      <c r="BO252" s="96"/>
      <c r="BP252" s="96"/>
      <c r="BQ252" s="96"/>
      <c r="BR252" s="96"/>
    </row>
    <row r="253" spans="3:70" s="132" customFormat="1" ht="13.15" x14ac:dyDescent="0.4">
      <c r="C253" s="138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6"/>
      <c r="BR253" s="96"/>
    </row>
    <row r="254" spans="3:70" s="132" customFormat="1" ht="13.15" x14ac:dyDescent="0.4">
      <c r="C254" s="138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6"/>
      <c r="BR254" s="96"/>
    </row>
    <row r="255" spans="3:70" s="132" customFormat="1" ht="13.15" x14ac:dyDescent="0.4">
      <c r="C255" s="138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6"/>
      <c r="BR255" s="96"/>
    </row>
    <row r="256" spans="3:70" s="132" customFormat="1" ht="13.15" x14ac:dyDescent="0.4">
      <c r="C256" s="138"/>
      <c r="BD256" s="96"/>
      <c r="BE256" s="96"/>
      <c r="BF256" s="96"/>
      <c r="BG256" s="96"/>
      <c r="BH256" s="96"/>
      <c r="BI256" s="96"/>
      <c r="BJ256" s="96"/>
      <c r="BK256" s="96"/>
      <c r="BL256" s="96"/>
      <c r="BM256" s="96"/>
      <c r="BN256" s="96"/>
      <c r="BO256" s="96"/>
      <c r="BP256" s="96"/>
      <c r="BQ256" s="96"/>
      <c r="BR256" s="96"/>
    </row>
    <row r="257" spans="3:70" s="132" customFormat="1" ht="13.15" x14ac:dyDescent="0.4">
      <c r="C257" s="138"/>
      <c r="BD257" s="96"/>
      <c r="BE257" s="96"/>
      <c r="BF257" s="96"/>
      <c r="BG257" s="96"/>
      <c r="BH257" s="96"/>
      <c r="BI257" s="96"/>
      <c r="BJ257" s="96"/>
      <c r="BK257" s="96"/>
      <c r="BL257" s="96"/>
      <c r="BM257" s="96"/>
      <c r="BN257" s="96"/>
      <c r="BO257" s="96"/>
      <c r="BP257" s="96"/>
      <c r="BQ257" s="96"/>
      <c r="BR257" s="96"/>
    </row>
    <row r="258" spans="3:70" s="132" customFormat="1" ht="13.15" x14ac:dyDescent="0.4">
      <c r="C258" s="138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96"/>
      <c r="BP258" s="96"/>
      <c r="BQ258" s="96"/>
      <c r="BR258" s="96"/>
    </row>
    <row r="259" spans="3:70" x14ac:dyDescent="0.55000000000000004">
      <c r="BD259" s="139"/>
      <c r="BE259" s="139"/>
      <c r="BF259" s="139"/>
      <c r="BG259" s="139"/>
      <c r="BH259" s="139"/>
      <c r="BI259" s="139"/>
      <c r="BJ259" s="139"/>
      <c r="BK259" s="139"/>
      <c r="BL259" s="139"/>
      <c r="BM259" s="140"/>
      <c r="BN259" s="140"/>
      <c r="BO259" s="140"/>
    </row>
    <row r="260" spans="3:70" x14ac:dyDescent="0.55000000000000004">
      <c r="BD260" s="139"/>
      <c r="BE260" s="139"/>
      <c r="BF260" s="139"/>
      <c r="BG260" s="139"/>
      <c r="BH260" s="139"/>
      <c r="BI260" s="139"/>
      <c r="BJ260" s="139"/>
      <c r="BK260" s="139"/>
      <c r="BL260" s="139"/>
      <c r="BM260" s="140"/>
      <c r="BN260" s="140"/>
      <c r="BO260" s="140"/>
    </row>
    <row r="261" spans="3:70" x14ac:dyDescent="0.55000000000000004">
      <c r="BD261" s="139"/>
      <c r="BE261" s="139"/>
      <c r="BF261" s="139"/>
      <c r="BG261" s="139"/>
      <c r="BH261" s="139"/>
      <c r="BI261" s="139"/>
      <c r="BJ261" s="139"/>
      <c r="BK261" s="139"/>
      <c r="BL261" s="139"/>
      <c r="BM261" s="140"/>
      <c r="BN261" s="140"/>
      <c r="BO261" s="140"/>
    </row>
    <row r="262" spans="3:70" x14ac:dyDescent="0.55000000000000004">
      <c r="BD262" s="139"/>
      <c r="BE262" s="139"/>
      <c r="BF262" s="139"/>
      <c r="BG262" s="139"/>
      <c r="BH262" s="139"/>
      <c r="BI262" s="139"/>
      <c r="BJ262" s="139"/>
      <c r="BK262" s="139"/>
      <c r="BL262" s="139"/>
      <c r="BM262" s="140"/>
      <c r="BN262" s="140"/>
      <c r="BO262" s="140"/>
    </row>
    <row r="263" spans="3:70" x14ac:dyDescent="0.55000000000000004">
      <c r="BD263" s="139"/>
      <c r="BE263" s="139"/>
      <c r="BF263" s="139"/>
      <c r="BG263" s="139"/>
      <c r="BH263" s="139"/>
      <c r="BI263" s="139"/>
      <c r="BJ263" s="139"/>
      <c r="BK263" s="139"/>
      <c r="BL263" s="139"/>
      <c r="BM263" s="140"/>
      <c r="BN263" s="140"/>
      <c r="BO263" s="140"/>
    </row>
    <row r="264" spans="3:70" x14ac:dyDescent="0.55000000000000004">
      <c r="BD264" s="139"/>
      <c r="BE264" s="139"/>
      <c r="BF264" s="139"/>
      <c r="BG264" s="139"/>
      <c r="BH264" s="139"/>
      <c r="BI264" s="139"/>
      <c r="BJ264" s="139"/>
      <c r="BK264" s="139"/>
      <c r="BL264" s="139"/>
      <c r="BM264" s="140"/>
      <c r="BN264" s="140"/>
      <c r="BO264" s="140"/>
    </row>
    <row r="265" spans="3:70" x14ac:dyDescent="0.55000000000000004">
      <c r="BD265" s="139"/>
      <c r="BE265" s="139"/>
      <c r="BF265" s="139"/>
      <c r="BG265" s="139"/>
      <c r="BH265" s="139"/>
      <c r="BI265" s="139"/>
      <c r="BJ265" s="139"/>
      <c r="BK265" s="139"/>
      <c r="BL265" s="139"/>
      <c r="BM265" s="140"/>
      <c r="BN265" s="140"/>
      <c r="BO265" s="140"/>
    </row>
    <row r="266" spans="3:70" x14ac:dyDescent="0.55000000000000004">
      <c r="BD266" s="139"/>
      <c r="BE266" s="139"/>
      <c r="BF266" s="139"/>
      <c r="BG266" s="139"/>
      <c r="BH266" s="139"/>
      <c r="BI266" s="139"/>
      <c r="BJ266" s="139"/>
      <c r="BK266" s="139"/>
      <c r="BL266" s="139"/>
      <c r="BM266" s="140"/>
      <c r="BN266" s="140"/>
      <c r="BO266" s="140"/>
    </row>
    <row r="267" spans="3:70" x14ac:dyDescent="0.55000000000000004">
      <c r="BD267" s="139"/>
      <c r="BE267" s="139"/>
      <c r="BF267" s="139"/>
      <c r="BG267" s="139"/>
      <c r="BH267" s="139"/>
      <c r="BI267" s="139"/>
      <c r="BJ267" s="139"/>
      <c r="BK267" s="139"/>
      <c r="BL267" s="139"/>
      <c r="BM267" s="140"/>
      <c r="BN267" s="140"/>
      <c r="BO267" s="140"/>
    </row>
    <row r="268" spans="3:70" x14ac:dyDescent="0.55000000000000004">
      <c r="BD268" s="139"/>
      <c r="BE268" s="139"/>
      <c r="BF268" s="139"/>
      <c r="BG268" s="139"/>
      <c r="BH268" s="139"/>
      <c r="BI268" s="139"/>
      <c r="BJ268" s="139"/>
      <c r="BK268" s="139"/>
      <c r="BL268" s="139"/>
      <c r="BM268" s="140"/>
      <c r="BN268" s="140"/>
      <c r="BO268" s="140"/>
    </row>
  </sheetData>
  <sheetProtection password="DF0A" sheet="1" objects="1" scenarios="1" selectLockedCells="1" selectUnlockedCells="1"/>
  <mergeCells count="8">
    <mergeCell ref="BC2:BM2"/>
    <mergeCell ref="AD2:AR2"/>
    <mergeCell ref="P86:Y86"/>
    <mergeCell ref="P58:Y58"/>
    <mergeCell ref="B2:M2"/>
    <mergeCell ref="N2:U2"/>
    <mergeCell ref="AU2:BA2"/>
    <mergeCell ref="O16:P16"/>
  </mergeCells>
  <printOptions horizontalCentered="1" verticalCentered="1"/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37</vt:i4>
      </vt:variant>
    </vt:vector>
  </HeadingPairs>
  <TitlesOfParts>
    <vt:vector size="39" baseType="lpstr">
      <vt:lpstr>Eingabe und Diagramm</vt:lpstr>
      <vt:lpstr>Berechnung</vt:lpstr>
      <vt:lpstr>anteilnio</vt:lpstr>
      <vt:lpstr>Anzahl</vt:lpstr>
      <vt:lpstr>AnzahlKlassenHistogramm</vt:lpstr>
      <vt:lpstr>BEOBPOGW</vt:lpstr>
      <vt:lpstr>BEOBPPM</vt:lpstr>
      <vt:lpstr>BEOBPUGW</vt:lpstr>
      <vt:lpstr>BERP</vt:lpstr>
      <vt:lpstr>BERPOGW</vt:lpstr>
      <vt:lpstr>BERPUGW</vt:lpstr>
      <vt:lpstr>BG</vt:lpstr>
      <vt:lpstr>CP</vt:lpstr>
      <vt:lpstr>CPK</vt:lpstr>
      <vt:lpstr>CPO</vt:lpstr>
      <vt:lpstr>CPU</vt:lpstr>
      <vt:lpstr>Datum</vt:lpstr>
      <vt:lpstr>Berechnung!Druckbereich</vt:lpstr>
      <vt:lpstr>'Eingabe und Diagramm'!Druckbereich</vt:lpstr>
      <vt:lpstr>Häufigkeitsdichte</vt:lpstr>
      <vt:lpstr>Maßeinheit</vt:lpstr>
      <vt:lpstr>Maximum</vt:lpstr>
      <vt:lpstr>Median</vt:lpstr>
      <vt:lpstr>Merkmal</vt:lpstr>
      <vt:lpstr>Merkman</vt:lpstr>
      <vt:lpstr>Minimum</vt:lpstr>
      <vt:lpstr>Mittelwert</vt:lpstr>
      <vt:lpstr>Normalverteilung_S</vt:lpstr>
      <vt:lpstr>normver</vt:lpstr>
      <vt:lpstr>OGW</vt:lpstr>
      <vt:lpstr>P</vt:lpstr>
      <vt:lpstr>POGW</vt:lpstr>
      <vt:lpstr>PUGW</vt:lpstr>
      <vt:lpstr>sigmalevel</vt:lpstr>
      <vt:lpstr>Sollwert</vt:lpstr>
      <vt:lpstr>Spannweite</vt:lpstr>
      <vt:lpstr>Standardabweichung</vt:lpstr>
      <vt:lpstr>UGW</vt:lpstr>
      <vt:lpstr>xi</vt:lpstr>
    </vt:vector>
  </TitlesOfParts>
  <Company>ABB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Maschinenfähigkeit Cp/Cpk</dc:title>
  <dc:subject>QM</dc:subject>
  <dc:creator>Schnedl Christian</dc:creator>
  <cp:lastModifiedBy>Schnedl Christian</cp:lastModifiedBy>
  <cp:lastPrinted>2015-05-27T09:11:55Z</cp:lastPrinted>
  <dcterms:created xsi:type="dcterms:W3CDTF">2013-06-04T12:27:04Z</dcterms:created>
  <dcterms:modified xsi:type="dcterms:W3CDTF">2021-03-08T09:41:30Z</dcterms:modified>
  <cp:contentStatus>Entwurf</cp:contentStatus>
</cp:coreProperties>
</file>